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30" tabRatio="764"/>
  </bookViews>
  <sheets>
    <sheet name="はじめに" sheetId="15" r:id="rId1"/>
    <sheet name="変更履歴" sheetId="12" r:id="rId2"/>
    <sheet name="PT一覧表" sheetId="5" r:id="rId3"/>
    <sheet name="ランクアップ　シュミレーション" sheetId="9" r:id="rId4"/>
    <sheet name="モンスター毎Lv50時データ" sheetId="11" r:id="rId5"/>
    <sheet name="モンスター毎Lv25時データ" sheetId="8" r:id="rId6"/>
    <sheet name="ギルド一覧" sheetId="14" r:id="rId7"/>
    <sheet name="モンスター　一覧" sheetId="4" r:id="rId8"/>
    <sheet name="性格一覧" sheetId="1" r:id="rId9"/>
    <sheet name="性格とステータスの伸び率と覚醒Lv" sheetId="2" r:id="rId10"/>
    <sheet name="Lv50時の伸び率" sheetId="10" r:id="rId11"/>
  </sheets>
  <definedNames>
    <definedName name="_xlnm._FilterDatabase" localSheetId="10" hidden="1">Lv50時の伸び率!$A$2:$R$47</definedName>
    <definedName name="_xlnm._FilterDatabase" localSheetId="7" hidden="1">'モンスター　一覧'!$A$3:$W$198</definedName>
  </definedNames>
  <calcPr calcId="145621"/>
</workbook>
</file>

<file path=xl/calcChain.xml><?xml version="1.0" encoding="utf-8"?>
<calcChain xmlns="http://schemas.openxmlformats.org/spreadsheetml/2006/main">
  <c r="Z56" i="8" l="1"/>
  <c r="Y56" i="8"/>
  <c r="X56" i="8"/>
  <c r="W56" i="8"/>
  <c r="V56" i="8"/>
  <c r="U56" i="8"/>
  <c r="Z55" i="8"/>
  <c r="Y55" i="8"/>
  <c r="X55" i="8"/>
  <c r="W55" i="8"/>
  <c r="V55" i="8"/>
  <c r="U55" i="8"/>
  <c r="Z54" i="8"/>
  <c r="Y54" i="8"/>
  <c r="X54" i="8"/>
  <c r="W54" i="8"/>
  <c r="V54" i="8"/>
  <c r="U54" i="8"/>
  <c r="Z53" i="8"/>
  <c r="Y53" i="8"/>
  <c r="X53" i="8"/>
  <c r="W53" i="8"/>
  <c r="V53" i="8"/>
  <c r="U53" i="8"/>
  <c r="Z52" i="8"/>
  <c r="Y52" i="8"/>
  <c r="X52" i="8"/>
  <c r="W52" i="8"/>
  <c r="V52" i="8"/>
  <c r="U52" i="8"/>
  <c r="Z51" i="8"/>
  <c r="Y51" i="8"/>
  <c r="X51" i="8"/>
  <c r="W51" i="8"/>
  <c r="V51" i="8"/>
  <c r="U51" i="8"/>
  <c r="Z50" i="8"/>
  <c r="Y50" i="8"/>
  <c r="X50" i="8"/>
  <c r="W50" i="8"/>
  <c r="V50" i="8"/>
  <c r="U50" i="8"/>
  <c r="Z49" i="8"/>
  <c r="Y49" i="8"/>
  <c r="X49" i="8"/>
  <c r="W49" i="8"/>
  <c r="V49" i="8"/>
  <c r="U49" i="8"/>
  <c r="Z48" i="8"/>
  <c r="Y48" i="8"/>
  <c r="X48" i="8"/>
  <c r="W48" i="8"/>
  <c r="V48" i="8"/>
  <c r="U48" i="8"/>
  <c r="Z47" i="8"/>
  <c r="Y47" i="8"/>
  <c r="X47" i="8"/>
  <c r="W47" i="8"/>
  <c r="V47" i="8"/>
  <c r="U47" i="8"/>
  <c r="Z46" i="8"/>
  <c r="Y46" i="8"/>
  <c r="X46" i="8"/>
  <c r="W46" i="8"/>
  <c r="V46" i="8"/>
  <c r="U46" i="8"/>
  <c r="Z45" i="8"/>
  <c r="Y45" i="8"/>
  <c r="X45" i="8"/>
  <c r="W45" i="8"/>
  <c r="V45" i="8"/>
  <c r="U45" i="8"/>
  <c r="Z44" i="8"/>
  <c r="Y44" i="8"/>
  <c r="X44" i="8"/>
  <c r="W44" i="8"/>
  <c r="V44" i="8"/>
  <c r="U44" i="8"/>
  <c r="Z43" i="8"/>
  <c r="Y43" i="8"/>
  <c r="X43" i="8"/>
  <c r="W43" i="8"/>
  <c r="V43" i="8"/>
  <c r="U43" i="8"/>
  <c r="Z42" i="8"/>
  <c r="Y42" i="8"/>
  <c r="X42" i="8"/>
  <c r="W42" i="8"/>
  <c r="V42" i="8"/>
  <c r="U42" i="8"/>
  <c r="Z41" i="8"/>
  <c r="Y41" i="8"/>
  <c r="X41" i="8"/>
  <c r="W41" i="8"/>
  <c r="V41" i="8"/>
  <c r="U41" i="8"/>
  <c r="Z40" i="8"/>
  <c r="Y40" i="8"/>
  <c r="X40" i="8"/>
  <c r="W40" i="8"/>
  <c r="V40" i="8"/>
  <c r="U40" i="8"/>
  <c r="Z39" i="8"/>
  <c r="Y39" i="8"/>
  <c r="X39" i="8"/>
  <c r="W39" i="8"/>
  <c r="V39" i="8"/>
  <c r="U39" i="8"/>
  <c r="Z38" i="8"/>
  <c r="Y38" i="8"/>
  <c r="X38" i="8"/>
  <c r="W38" i="8"/>
  <c r="V38" i="8"/>
  <c r="U38" i="8"/>
  <c r="Z37" i="8"/>
  <c r="Y37" i="8"/>
  <c r="X37" i="8"/>
  <c r="W37" i="8"/>
  <c r="V37" i="8"/>
  <c r="U37" i="8"/>
  <c r="Z36" i="8"/>
  <c r="Y36" i="8"/>
  <c r="X36" i="8"/>
  <c r="W36" i="8"/>
  <c r="V36" i="8"/>
  <c r="U36" i="8"/>
  <c r="Z35" i="8"/>
  <c r="Y35" i="8"/>
  <c r="X35" i="8"/>
  <c r="W35" i="8"/>
  <c r="V35" i="8"/>
  <c r="U35" i="8"/>
  <c r="Z34" i="8"/>
  <c r="Y34" i="8"/>
  <c r="X34" i="8"/>
  <c r="W34" i="8"/>
  <c r="V34" i="8"/>
  <c r="U34" i="8"/>
  <c r="Z33" i="8"/>
  <c r="Y33" i="8"/>
  <c r="X33" i="8"/>
  <c r="W33" i="8"/>
  <c r="V33" i="8"/>
  <c r="U33" i="8"/>
  <c r="Z32" i="8"/>
  <c r="Y32" i="8"/>
  <c r="X32" i="8"/>
  <c r="W32" i="8"/>
  <c r="V32" i="8"/>
  <c r="U32" i="8"/>
  <c r="Z31" i="8"/>
  <c r="Y31" i="8"/>
  <c r="X31" i="8"/>
  <c r="W31" i="8"/>
  <c r="V31" i="8"/>
  <c r="U31" i="8"/>
  <c r="Z30" i="8"/>
  <c r="Y30" i="8"/>
  <c r="X30" i="8"/>
  <c r="W30" i="8"/>
  <c r="V30" i="8"/>
  <c r="U30" i="8"/>
  <c r="Z29" i="8"/>
  <c r="Y29" i="8"/>
  <c r="X29" i="8"/>
  <c r="W29" i="8"/>
  <c r="V29" i="8"/>
  <c r="U29" i="8"/>
  <c r="Z28" i="8"/>
  <c r="Y28" i="8"/>
  <c r="X28" i="8"/>
  <c r="W28" i="8"/>
  <c r="V28" i="8"/>
  <c r="U28" i="8"/>
  <c r="Z27" i="8"/>
  <c r="Y27" i="8"/>
  <c r="X27" i="8"/>
  <c r="W27" i="8"/>
  <c r="V27" i="8"/>
  <c r="U27" i="8"/>
  <c r="Z26" i="8"/>
  <c r="Y26" i="8"/>
  <c r="X26" i="8"/>
  <c r="W26" i="8"/>
  <c r="V26" i="8"/>
  <c r="U26" i="8"/>
  <c r="Z25" i="8"/>
  <c r="Y25" i="8"/>
  <c r="X25" i="8"/>
  <c r="W25" i="8"/>
  <c r="V25" i="8"/>
  <c r="U25" i="8"/>
  <c r="Z24" i="8"/>
  <c r="Y24" i="8"/>
  <c r="X24" i="8"/>
  <c r="W24" i="8"/>
  <c r="V24" i="8"/>
  <c r="U24" i="8"/>
  <c r="Z23" i="8"/>
  <c r="Y23" i="8"/>
  <c r="X23" i="8"/>
  <c r="W23" i="8"/>
  <c r="V23" i="8"/>
  <c r="U23" i="8"/>
  <c r="Z22" i="8"/>
  <c r="Y22" i="8"/>
  <c r="X22" i="8"/>
  <c r="W22" i="8"/>
  <c r="V22" i="8"/>
  <c r="U22" i="8"/>
  <c r="Z21" i="8"/>
  <c r="Y21" i="8"/>
  <c r="X21" i="8"/>
  <c r="W21" i="8"/>
  <c r="V21" i="8"/>
  <c r="U21" i="8"/>
  <c r="Z20" i="8"/>
  <c r="Y20" i="8"/>
  <c r="X20" i="8"/>
  <c r="W20" i="8"/>
  <c r="V20" i="8"/>
  <c r="U20" i="8"/>
  <c r="Z19" i="8"/>
  <c r="Y19" i="8"/>
  <c r="X19" i="8"/>
  <c r="W19" i="8"/>
  <c r="V19" i="8"/>
  <c r="U19" i="8"/>
  <c r="Z18" i="8"/>
  <c r="Y18" i="8"/>
  <c r="X18" i="8"/>
  <c r="W18" i="8"/>
  <c r="V18" i="8"/>
  <c r="U18" i="8"/>
  <c r="Z17" i="8"/>
  <c r="Y17" i="8"/>
  <c r="X17" i="8"/>
  <c r="W17" i="8"/>
  <c r="V17" i="8"/>
  <c r="U17" i="8"/>
  <c r="Z16" i="8"/>
  <c r="Y16" i="8"/>
  <c r="X16" i="8"/>
  <c r="W16" i="8"/>
  <c r="V16" i="8"/>
  <c r="U16" i="8"/>
  <c r="Z15" i="8"/>
  <c r="Y15" i="8"/>
  <c r="X15" i="8"/>
  <c r="W15" i="8"/>
  <c r="V15" i="8"/>
  <c r="U15" i="8"/>
  <c r="Z14" i="8"/>
  <c r="Y14" i="8"/>
  <c r="X14" i="8"/>
  <c r="W14" i="8"/>
  <c r="V14" i="8"/>
  <c r="U14" i="8"/>
  <c r="Z13" i="8"/>
  <c r="Y13" i="8"/>
  <c r="X13" i="8"/>
  <c r="W13" i="8"/>
  <c r="V13" i="8"/>
  <c r="U13" i="8"/>
  <c r="Z12" i="8"/>
  <c r="Y12" i="8"/>
  <c r="X12" i="8"/>
  <c r="W12" i="8"/>
  <c r="V12" i="8"/>
  <c r="U12" i="8"/>
  <c r="Q56" i="8"/>
  <c r="P56" i="8"/>
  <c r="O56" i="8"/>
  <c r="N56" i="8"/>
  <c r="M56" i="8"/>
  <c r="L56" i="8"/>
  <c r="Q55" i="8"/>
  <c r="P55" i="8"/>
  <c r="O55" i="8"/>
  <c r="N55" i="8"/>
  <c r="M55" i="8"/>
  <c r="L55" i="8"/>
  <c r="Q54" i="8"/>
  <c r="P54" i="8"/>
  <c r="O54" i="8"/>
  <c r="N54" i="8"/>
  <c r="M54" i="8"/>
  <c r="L54" i="8"/>
  <c r="Q53" i="8"/>
  <c r="P53" i="8"/>
  <c r="O53" i="8"/>
  <c r="N53" i="8"/>
  <c r="M53" i="8"/>
  <c r="L53" i="8"/>
  <c r="Q52" i="8"/>
  <c r="P52" i="8"/>
  <c r="O52" i="8"/>
  <c r="N52" i="8"/>
  <c r="M52" i="8"/>
  <c r="L52" i="8"/>
  <c r="Q51" i="8"/>
  <c r="P51" i="8"/>
  <c r="O51" i="8"/>
  <c r="N51" i="8"/>
  <c r="M51" i="8"/>
  <c r="L51" i="8"/>
  <c r="Q50" i="8"/>
  <c r="P50" i="8"/>
  <c r="O50" i="8"/>
  <c r="N50" i="8"/>
  <c r="M50" i="8"/>
  <c r="L50" i="8"/>
  <c r="Q49" i="8"/>
  <c r="P49" i="8"/>
  <c r="O49" i="8"/>
  <c r="N49" i="8"/>
  <c r="M49" i="8"/>
  <c r="L49" i="8"/>
  <c r="Q48" i="8"/>
  <c r="P48" i="8"/>
  <c r="O48" i="8"/>
  <c r="N48" i="8"/>
  <c r="M48" i="8"/>
  <c r="L48" i="8"/>
  <c r="Q47" i="8"/>
  <c r="P47" i="8"/>
  <c r="O47" i="8"/>
  <c r="N47" i="8"/>
  <c r="M47" i="8"/>
  <c r="L47" i="8"/>
  <c r="Q46" i="8"/>
  <c r="P46" i="8"/>
  <c r="O46" i="8"/>
  <c r="N46" i="8"/>
  <c r="M46" i="8"/>
  <c r="L46" i="8"/>
  <c r="Q45" i="8"/>
  <c r="P45" i="8"/>
  <c r="O45" i="8"/>
  <c r="N45" i="8"/>
  <c r="M45" i="8"/>
  <c r="L45" i="8"/>
  <c r="Q44" i="8"/>
  <c r="P44" i="8"/>
  <c r="O44" i="8"/>
  <c r="N44" i="8"/>
  <c r="M44" i="8"/>
  <c r="L44" i="8"/>
  <c r="Q43" i="8"/>
  <c r="P43" i="8"/>
  <c r="O43" i="8"/>
  <c r="N43" i="8"/>
  <c r="M43" i="8"/>
  <c r="L43" i="8"/>
  <c r="Q42" i="8"/>
  <c r="P42" i="8"/>
  <c r="O42" i="8"/>
  <c r="N42" i="8"/>
  <c r="M42" i="8"/>
  <c r="L42" i="8"/>
  <c r="Q41" i="8"/>
  <c r="P41" i="8"/>
  <c r="O41" i="8"/>
  <c r="N41" i="8"/>
  <c r="M41" i="8"/>
  <c r="L41" i="8"/>
  <c r="Q40" i="8"/>
  <c r="P40" i="8"/>
  <c r="O40" i="8"/>
  <c r="N40" i="8"/>
  <c r="M40" i="8"/>
  <c r="L40" i="8"/>
  <c r="Q39" i="8"/>
  <c r="P39" i="8"/>
  <c r="O39" i="8"/>
  <c r="N39" i="8"/>
  <c r="M39" i="8"/>
  <c r="L39" i="8"/>
  <c r="Q38" i="8"/>
  <c r="P38" i="8"/>
  <c r="O38" i="8"/>
  <c r="N38" i="8"/>
  <c r="M38" i="8"/>
  <c r="L38" i="8"/>
  <c r="Q37" i="8"/>
  <c r="P37" i="8"/>
  <c r="O37" i="8"/>
  <c r="N37" i="8"/>
  <c r="M37" i="8"/>
  <c r="L37" i="8"/>
  <c r="Q36" i="8"/>
  <c r="P36" i="8"/>
  <c r="O36" i="8"/>
  <c r="N36" i="8"/>
  <c r="M36" i="8"/>
  <c r="L36" i="8"/>
  <c r="Q35" i="8"/>
  <c r="P35" i="8"/>
  <c r="O35" i="8"/>
  <c r="N35" i="8"/>
  <c r="M35" i="8"/>
  <c r="L35" i="8"/>
  <c r="Q34" i="8"/>
  <c r="P34" i="8"/>
  <c r="O34" i="8"/>
  <c r="N34" i="8"/>
  <c r="M34" i="8"/>
  <c r="L34" i="8"/>
  <c r="Q33" i="8"/>
  <c r="P33" i="8"/>
  <c r="O33" i="8"/>
  <c r="N33" i="8"/>
  <c r="M33" i="8"/>
  <c r="L33" i="8"/>
  <c r="Q32" i="8"/>
  <c r="P32" i="8"/>
  <c r="O32" i="8"/>
  <c r="N32" i="8"/>
  <c r="M32" i="8"/>
  <c r="L32" i="8"/>
  <c r="Q31" i="8"/>
  <c r="P31" i="8"/>
  <c r="O31" i="8"/>
  <c r="N31" i="8"/>
  <c r="M31" i="8"/>
  <c r="L31" i="8"/>
  <c r="Q30" i="8"/>
  <c r="P30" i="8"/>
  <c r="O30" i="8"/>
  <c r="N30" i="8"/>
  <c r="M30" i="8"/>
  <c r="L30" i="8"/>
  <c r="Q29" i="8"/>
  <c r="P29" i="8"/>
  <c r="O29" i="8"/>
  <c r="N29" i="8"/>
  <c r="M29" i="8"/>
  <c r="L29" i="8"/>
  <c r="Q28" i="8"/>
  <c r="P28" i="8"/>
  <c r="O28" i="8"/>
  <c r="N28" i="8"/>
  <c r="M28" i="8"/>
  <c r="L28" i="8"/>
  <c r="Q27" i="8"/>
  <c r="P27" i="8"/>
  <c r="O27" i="8"/>
  <c r="N27" i="8"/>
  <c r="M27" i="8"/>
  <c r="L27" i="8"/>
  <c r="Q26" i="8"/>
  <c r="P26" i="8"/>
  <c r="O26" i="8"/>
  <c r="N26" i="8"/>
  <c r="M26" i="8"/>
  <c r="L26" i="8"/>
  <c r="Q25" i="8"/>
  <c r="P25" i="8"/>
  <c r="O25" i="8"/>
  <c r="N25" i="8"/>
  <c r="M25" i="8"/>
  <c r="L25" i="8"/>
  <c r="Q24" i="8"/>
  <c r="P24" i="8"/>
  <c r="O24" i="8"/>
  <c r="N24" i="8"/>
  <c r="M24" i="8"/>
  <c r="L24" i="8"/>
  <c r="Q23" i="8"/>
  <c r="P23" i="8"/>
  <c r="O23" i="8"/>
  <c r="N23" i="8"/>
  <c r="M23" i="8"/>
  <c r="L23" i="8"/>
  <c r="Q22" i="8"/>
  <c r="P22" i="8"/>
  <c r="O22" i="8"/>
  <c r="N22" i="8"/>
  <c r="M22" i="8"/>
  <c r="L22" i="8"/>
  <c r="Q21" i="8"/>
  <c r="P21" i="8"/>
  <c r="O21" i="8"/>
  <c r="N21" i="8"/>
  <c r="M21" i="8"/>
  <c r="L21" i="8"/>
  <c r="Q20" i="8"/>
  <c r="P20" i="8"/>
  <c r="O20" i="8"/>
  <c r="N20" i="8"/>
  <c r="M20" i="8"/>
  <c r="L20" i="8"/>
  <c r="Q19" i="8"/>
  <c r="P19" i="8"/>
  <c r="O19" i="8"/>
  <c r="N19" i="8"/>
  <c r="M19" i="8"/>
  <c r="L19" i="8"/>
  <c r="Q18" i="8"/>
  <c r="P18" i="8"/>
  <c r="O18" i="8"/>
  <c r="N18" i="8"/>
  <c r="M18" i="8"/>
  <c r="L18" i="8"/>
  <c r="Q17" i="8"/>
  <c r="P17" i="8"/>
  <c r="O17" i="8"/>
  <c r="N17" i="8"/>
  <c r="M17" i="8"/>
  <c r="L17" i="8"/>
  <c r="Q16" i="8"/>
  <c r="P16" i="8"/>
  <c r="O16" i="8"/>
  <c r="N16" i="8"/>
  <c r="M16" i="8"/>
  <c r="L16" i="8"/>
  <c r="Q15" i="8"/>
  <c r="P15" i="8"/>
  <c r="O15" i="8"/>
  <c r="N15" i="8"/>
  <c r="M15" i="8"/>
  <c r="L15" i="8"/>
  <c r="Q14" i="8"/>
  <c r="P14" i="8"/>
  <c r="O14" i="8"/>
  <c r="N14" i="8"/>
  <c r="M14" i="8"/>
  <c r="L14" i="8"/>
  <c r="Q13" i="8"/>
  <c r="P13" i="8"/>
  <c r="O13" i="8"/>
  <c r="N13" i="8"/>
  <c r="M13" i="8"/>
  <c r="L13" i="8"/>
  <c r="Q12" i="8"/>
  <c r="P12" i="8"/>
  <c r="O12" i="8"/>
  <c r="N12" i="8"/>
  <c r="M12" i="8"/>
  <c r="L12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Z56" i="11" l="1"/>
  <c r="Y56" i="11"/>
  <c r="X56" i="11"/>
  <c r="W56" i="11"/>
  <c r="V56" i="11"/>
  <c r="U56" i="11"/>
  <c r="Z55" i="11"/>
  <c r="Y55" i="11"/>
  <c r="X55" i="11"/>
  <c r="W55" i="11"/>
  <c r="V55" i="11"/>
  <c r="U55" i="11"/>
  <c r="Z54" i="11"/>
  <c r="Y54" i="11"/>
  <c r="X54" i="11"/>
  <c r="W54" i="11"/>
  <c r="V54" i="11"/>
  <c r="U54" i="11"/>
  <c r="Z53" i="11"/>
  <c r="Y53" i="11"/>
  <c r="X53" i="11"/>
  <c r="W53" i="11"/>
  <c r="V53" i="11"/>
  <c r="U53" i="11"/>
  <c r="Z52" i="11"/>
  <c r="Y52" i="11"/>
  <c r="X52" i="11"/>
  <c r="W52" i="11"/>
  <c r="V52" i="11"/>
  <c r="U52" i="11"/>
  <c r="Z51" i="11"/>
  <c r="Y51" i="11"/>
  <c r="X51" i="11"/>
  <c r="W51" i="11"/>
  <c r="V51" i="11"/>
  <c r="U51" i="11"/>
  <c r="Z50" i="11"/>
  <c r="Y50" i="11"/>
  <c r="X50" i="11"/>
  <c r="W50" i="11"/>
  <c r="V50" i="11"/>
  <c r="U50" i="11"/>
  <c r="Z49" i="11"/>
  <c r="Y49" i="11"/>
  <c r="X49" i="11"/>
  <c r="W49" i="11"/>
  <c r="V49" i="11"/>
  <c r="U49" i="11"/>
  <c r="Z48" i="11"/>
  <c r="Y48" i="11"/>
  <c r="X48" i="11"/>
  <c r="W48" i="11"/>
  <c r="V48" i="11"/>
  <c r="U48" i="11"/>
  <c r="Z47" i="11"/>
  <c r="Y47" i="11"/>
  <c r="X47" i="11"/>
  <c r="W47" i="11"/>
  <c r="V47" i="11"/>
  <c r="U47" i="11"/>
  <c r="Z46" i="11"/>
  <c r="Y46" i="11"/>
  <c r="X46" i="11"/>
  <c r="W46" i="11"/>
  <c r="V46" i="11"/>
  <c r="U46" i="11"/>
  <c r="Z45" i="11"/>
  <c r="Y45" i="11"/>
  <c r="X45" i="11"/>
  <c r="W45" i="11"/>
  <c r="V45" i="11"/>
  <c r="U45" i="11"/>
  <c r="Z44" i="11"/>
  <c r="Y44" i="11"/>
  <c r="X44" i="11"/>
  <c r="W44" i="11"/>
  <c r="V44" i="11"/>
  <c r="U44" i="11"/>
  <c r="Z43" i="11"/>
  <c r="Y43" i="11"/>
  <c r="X43" i="11"/>
  <c r="W43" i="11"/>
  <c r="V43" i="11"/>
  <c r="U43" i="11"/>
  <c r="Z42" i="11"/>
  <c r="Y42" i="11"/>
  <c r="X42" i="11"/>
  <c r="W42" i="11"/>
  <c r="V42" i="11"/>
  <c r="U42" i="11"/>
  <c r="Z41" i="11"/>
  <c r="Y41" i="11"/>
  <c r="X41" i="11"/>
  <c r="W41" i="11"/>
  <c r="V41" i="11"/>
  <c r="U41" i="11"/>
  <c r="Z40" i="11"/>
  <c r="Y40" i="11"/>
  <c r="X40" i="11"/>
  <c r="W40" i="11"/>
  <c r="V40" i="11"/>
  <c r="U40" i="11"/>
  <c r="Z39" i="11"/>
  <c r="Y39" i="11"/>
  <c r="X39" i="11"/>
  <c r="W39" i="11"/>
  <c r="V39" i="11"/>
  <c r="U39" i="11"/>
  <c r="Z38" i="11"/>
  <c r="Y38" i="11"/>
  <c r="X38" i="11"/>
  <c r="W38" i="11"/>
  <c r="V38" i="11"/>
  <c r="U38" i="11"/>
  <c r="Z37" i="11"/>
  <c r="Y37" i="11"/>
  <c r="X37" i="11"/>
  <c r="W37" i="11"/>
  <c r="V37" i="11"/>
  <c r="U37" i="11"/>
  <c r="Z36" i="11"/>
  <c r="Y36" i="11"/>
  <c r="X36" i="11"/>
  <c r="W36" i="11"/>
  <c r="V36" i="11"/>
  <c r="U36" i="11"/>
  <c r="Z35" i="11"/>
  <c r="Y35" i="11"/>
  <c r="X35" i="11"/>
  <c r="W35" i="11"/>
  <c r="V35" i="11"/>
  <c r="U35" i="11"/>
  <c r="Z34" i="11"/>
  <c r="Y34" i="11"/>
  <c r="X34" i="11"/>
  <c r="W34" i="11"/>
  <c r="V34" i="11"/>
  <c r="U34" i="11"/>
  <c r="Z33" i="11"/>
  <c r="Y33" i="11"/>
  <c r="X33" i="11"/>
  <c r="W33" i="11"/>
  <c r="V33" i="11"/>
  <c r="U33" i="11"/>
  <c r="Z32" i="11"/>
  <c r="Y32" i="11"/>
  <c r="X32" i="11"/>
  <c r="W32" i="11"/>
  <c r="V32" i="11"/>
  <c r="U32" i="11"/>
  <c r="Z31" i="11"/>
  <c r="Y31" i="11"/>
  <c r="X31" i="11"/>
  <c r="W31" i="11"/>
  <c r="V31" i="11"/>
  <c r="U31" i="11"/>
  <c r="Z30" i="11"/>
  <c r="Y30" i="11"/>
  <c r="X30" i="11"/>
  <c r="W30" i="11"/>
  <c r="V30" i="11"/>
  <c r="U30" i="11"/>
  <c r="Z29" i="11"/>
  <c r="Y29" i="11"/>
  <c r="X29" i="11"/>
  <c r="W29" i="11"/>
  <c r="V29" i="11"/>
  <c r="U29" i="11"/>
  <c r="Z28" i="11"/>
  <c r="Y28" i="11"/>
  <c r="X28" i="11"/>
  <c r="W28" i="11"/>
  <c r="V28" i="11"/>
  <c r="U28" i="11"/>
  <c r="Z27" i="11"/>
  <c r="Y27" i="11"/>
  <c r="X27" i="11"/>
  <c r="W27" i="11"/>
  <c r="V27" i="11"/>
  <c r="U27" i="11"/>
  <c r="Z26" i="11"/>
  <c r="Y26" i="11"/>
  <c r="X26" i="11"/>
  <c r="W26" i="11"/>
  <c r="V26" i="11"/>
  <c r="U26" i="11"/>
  <c r="Z25" i="11"/>
  <c r="Y25" i="11"/>
  <c r="X25" i="11"/>
  <c r="W25" i="11"/>
  <c r="V25" i="11"/>
  <c r="U25" i="11"/>
  <c r="Z24" i="11"/>
  <c r="Y24" i="11"/>
  <c r="X24" i="11"/>
  <c r="W24" i="11"/>
  <c r="V24" i="11"/>
  <c r="U24" i="11"/>
  <c r="Z23" i="11"/>
  <c r="Y23" i="11"/>
  <c r="X23" i="11"/>
  <c r="W23" i="11"/>
  <c r="V23" i="11"/>
  <c r="U23" i="11"/>
  <c r="Z22" i="11"/>
  <c r="Y22" i="11"/>
  <c r="X22" i="11"/>
  <c r="W22" i="11"/>
  <c r="V22" i="11"/>
  <c r="U22" i="11"/>
  <c r="Z21" i="11"/>
  <c r="Y21" i="11"/>
  <c r="X21" i="11"/>
  <c r="W21" i="11"/>
  <c r="V21" i="11"/>
  <c r="U21" i="11"/>
  <c r="Z20" i="11"/>
  <c r="Y20" i="11"/>
  <c r="X20" i="11"/>
  <c r="W20" i="11"/>
  <c r="V20" i="11"/>
  <c r="U20" i="11"/>
  <c r="Z19" i="11"/>
  <c r="Y19" i="11"/>
  <c r="X19" i="11"/>
  <c r="W19" i="11"/>
  <c r="V19" i="11"/>
  <c r="U19" i="11"/>
  <c r="Z18" i="11"/>
  <c r="Y18" i="11"/>
  <c r="X18" i="11"/>
  <c r="W18" i="11"/>
  <c r="V18" i="11"/>
  <c r="U18" i="11"/>
  <c r="Z17" i="11"/>
  <c r="Y17" i="11"/>
  <c r="X17" i="11"/>
  <c r="W17" i="11"/>
  <c r="V17" i="11"/>
  <c r="U17" i="11"/>
  <c r="Z16" i="11"/>
  <c r="Y16" i="11"/>
  <c r="X16" i="11"/>
  <c r="W16" i="11"/>
  <c r="V16" i="11"/>
  <c r="U16" i="11"/>
  <c r="Z15" i="11"/>
  <c r="Y15" i="11"/>
  <c r="X15" i="11"/>
  <c r="W15" i="11"/>
  <c r="V15" i="11"/>
  <c r="U15" i="11"/>
  <c r="Z14" i="11"/>
  <c r="Y14" i="11"/>
  <c r="X14" i="11"/>
  <c r="W14" i="11"/>
  <c r="V14" i="11"/>
  <c r="U14" i="11"/>
  <c r="Z13" i="11"/>
  <c r="Y13" i="11"/>
  <c r="X13" i="11"/>
  <c r="W13" i="11"/>
  <c r="V13" i="11"/>
  <c r="U13" i="11"/>
  <c r="Z12" i="11"/>
  <c r="Y12" i="11"/>
  <c r="X12" i="11"/>
  <c r="W12" i="11"/>
  <c r="V12" i="11"/>
  <c r="U12" i="11"/>
  <c r="Q56" i="11"/>
  <c r="P56" i="11"/>
  <c r="O56" i="11"/>
  <c r="N56" i="11"/>
  <c r="M56" i="11"/>
  <c r="L56" i="11"/>
  <c r="Q55" i="11"/>
  <c r="P55" i="11"/>
  <c r="O55" i="11"/>
  <c r="N55" i="11"/>
  <c r="M55" i="11"/>
  <c r="L55" i="11"/>
  <c r="Q54" i="11"/>
  <c r="P54" i="11"/>
  <c r="O54" i="11"/>
  <c r="N54" i="11"/>
  <c r="M54" i="11"/>
  <c r="L54" i="11"/>
  <c r="Q53" i="11"/>
  <c r="P53" i="11"/>
  <c r="O53" i="11"/>
  <c r="N53" i="11"/>
  <c r="M53" i="11"/>
  <c r="L53" i="11"/>
  <c r="Q52" i="11"/>
  <c r="P52" i="11"/>
  <c r="O52" i="11"/>
  <c r="N52" i="11"/>
  <c r="M52" i="11"/>
  <c r="L52" i="11"/>
  <c r="Q51" i="11"/>
  <c r="P51" i="11"/>
  <c r="O51" i="11"/>
  <c r="N51" i="11"/>
  <c r="M51" i="11"/>
  <c r="L51" i="11"/>
  <c r="Q50" i="11"/>
  <c r="P50" i="11"/>
  <c r="O50" i="11"/>
  <c r="N50" i="11"/>
  <c r="M50" i="11"/>
  <c r="L50" i="11"/>
  <c r="Q49" i="11"/>
  <c r="P49" i="11"/>
  <c r="O49" i="11"/>
  <c r="N49" i="11"/>
  <c r="M49" i="11"/>
  <c r="L49" i="11"/>
  <c r="Q48" i="11"/>
  <c r="P48" i="11"/>
  <c r="O48" i="11"/>
  <c r="N48" i="11"/>
  <c r="M48" i="11"/>
  <c r="L48" i="11"/>
  <c r="Q47" i="11"/>
  <c r="P47" i="11"/>
  <c r="O47" i="11"/>
  <c r="N47" i="11"/>
  <c r="M47" i="11"/>
  <c r="L47" i="11"/>
  <c r="Q46" i="11"/>
  <c r="P46" i="11"/>
  <c r="O46" i="11"/>
  <c r="N46" i="11"/>
  <c r="M46" i="11"/>
  <c r="L46" i="11"/>
  <c r="Q45" i="11"/>
  <c r="P45" i="11"/>
  <c r="O45" i="11"/>
  <c r="N45" i="11"/>
  <c r="M45" i="11"/>
  <c r="L45" i="11"/>
  <c r="Q44" i="11"/>
  <c r="P44" i="11"/>
  <c r="O44" i="11"/>
  <c r="N44" i="11"/>
  <c r="M44" i="11"/>
  <c r="L44" i="11"/>
  <c r="Q43" i="11"/>
  <c r="P43" i="11"/>
  <c r="O43" i="11"/>
  <c r="N43" i="11"/>
  <c r="M43" i="11"/>
  <c r="L43" i="11"/>
  <c r="Q42" i="11"/>
  <c r="P42" i="11"/>
  <c r="O42" i="11"/>
  <c r="N42" i="11"/>
  <c r="M42" i="11"/>
  <c r="L42" i="11"/>
  <c r="Q41" i="11"/>
  <c r="P41" i="11"/>
  <c r="O41" i="11"/>
  <c r="N41" i="11"/>
  <c r="M41" i="11"/>
  <c r="L41" i="11"/>
  <c r="Q40" i="11"/>
  <c r="P40" i="11"/>
  <c r="O40" i="11"/>
  <c r="N40" i="11"/>
  <c r="M40" i="11"/>
  <c r="L40" i="11"/>
  <c r="Q39" i="11"/>
  <c r="P39" i="11"/>
  <c r="O39" i="11"/>
  <c r="N39" i="11"/>
  <c r="M39" i="11"/>
  <c r="L39" i="11"/>
  <c r="Q38" i="11"/>
  <c r="P38" i="11"/>
  <c r="O38" i="11"/>
  <c r="N38" i="11"/>
  <c r="M38" i="11"/>
  <c r="L38" i="11"/>
  <c r="Q37" i="11"/>
  <c r="P37" i="11"/>
  <c r="O37" i="11"/>
  <c r="N37" i="11"/>
  <c r="M37" i="11"/>
  <c r="L37" i="11"/>
  <c r="Q36" i="11"/>
  <c r="P36" i="11"/>
  <c r="O36" i="11"/>
  <c r="N36" i="11"/>
  <c r="M36" i="11"/>
  <c r="L36" i="11"/>
  <c r="Q35" i="11"/>
  <c r="P35" i="11"/>
  <c r="O35" i="11"/>
  <c r="N35" i="11"/>
  <c r="M35" i="11"/>
  <c r="L35" i="11"/>
  <c r="Q34" i="11"/>
  <c r="P34" i="11"/>
  <c r="O34" i="11"/>
  <c r="N34" i="11"/>
  <c r="M34" i="11"/>
  <c r="L34" i="11"/>
  <c r="Q33" i="11"/>
  <c r="P33" i="11"/>
  <c r="O33" i="11"/>
  <c r="N33" i="11"/>
  <c r="M33" i="11"/>
  <c r="L33" i="11"/>
  <c r="Q32" i="11"/>
  <c r="P32" i="11"/>
  <c r="O32" i="11"/>
  <c r="N32" i="11"/>
  <c r="M32" i="11"/>
  <c r="L32" i="11"/>
  <c r="Q31" i="11"/>
  <c r="P31" i="11"/>
  <c r="O31" i="11"/>
  <c r="N31" i="11"/>
  <c r="M31" i="11"/>
  <c r="L31" i="11"/>
  <c r="Q30" i="11"/>
  <c r="P30" i="11"/>
  <c r="O30" i="11"/>
  <c r="N30" i="11"/>
  <c r="M30" i="11"/>
  <c r="L30" i="11"/>
  <c r="Q29" i="11"/>
  <c r="P29" i="11"/>
  <c r="O29" i="11"/>
  <c r="N29" i="11"/>
  <c r="M29" i="11"/>
  <c r="L29" i="11"/>
  <c r="Q28" i="11"/>
  <c r="P28" i="11"/>
  <c r="O28" i="11"/>
  <c r="N28" i="11"/>
  <c r="M28" i="11"/>
  <c r="L28" i="11"/>
  <c r="Q27" i="11"/>
  <c r="P27" i="11"/>
  <c r="O27" i="11"/>
  <c r="N27" i="11"/>
  <c r="M27" i="11"/>
  <c r="L27" i="11"/>
  <c r="Q26" i="11"/>
  <c r="P26" i="11"/>
  <c r="O26" i="11"/>
  <c r="N26" i="11"/>
  <c r="M26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Q22" i="11"/>
  <c r="P22" i="11"/>
  <c r="O22" i="11"/>
  <c r="N22" i="11"/>
  <c r="M22" i="11"/>
  <c r="L22" i="11"/>
  <c r="Q21" i="11"/>
  <c r="P21" i="11"/>
  <c r="O21" i="11"/>
  <c r="N21" i="11"/>
  <c r="M21" i="11"/>
  <c r="L21" i="11"/>
  <c r="Q20" i="11"/>
  <c r="P20" i="11"/>
  <c r="O20" i="11"/>
  <c r="N20" i="11"/>
  <c r="M20" i="11"/>
  <c r="L20" i="11"/>
  <c r="Q19" i="11"/>
  <c r="P19" i="11"/>
  <c r="O19" i="11"/>
  <c r="N19" i="11"/>
  <c r="M19" i="11"/>
  <c r="L19" i="11"/>
  <c r="Q18" i="11"/>
  <c r="P18" i="11"/>
  <c r="O18" i="11"/>
  <c r="N18" i="11"/>
  <c r="M18" i="11"/>
  <c r="L18" i="11"/>
  <c r="Q17" i="11"/>
  <c r="P17" i="11"/>
  <c r="O17" i="11"/>
  <c r="N17" i="11"/>
  <c r="M17" i="11"/>
  <c r="L17" i="11"/>
  <c r="Q16" i="11"/>
  <c r="P16" i="11"/>
  <c r="O16" i="11"/>
  <c r="N16" i="11"/>
  <c r="M16" i="11"/>
  <c r="L16" i="11"/>
  <c r="Q15" i="11"/>
  <c r="P15" i="11"/>
  <c r="O15" i="11"/>
  <c r="N15" i="11"/>
  <c r="M15" i="11"/>
  <c r="L15" i="11"/>
  <c r="Q14" i="11"/>
  <c r="P14" i="11"/>
  <c r="O14" i="11"/>
  <c r="N14" i="11"/>
  <c r="M14" i="11"/>
  <c r="L14" i="11"/>
  <c r="Q13" i="11"/>
  <c r="P13" i="11"/>
  <c r="O13" i="11"/>
  <c r="N13" i="11"/>
  <c r="M13" i="11"/>
  <c r="L13" i="11"/>
  <c r="L12" i="11"/>
  <c r="M12" i="11"/>
  <c r="N12" i="11"/>
  <c r="O12" i="11"/>
  <c r="P12" i="11"/>
  <c r="Q12" i="11"/>
  <c r="H56" i="11"/>
  <c r="G56" i="11"/>
  <c r="F56" i="11"/>
  <c r="E56" i="11"/>
  <c r="D56" i="11"/>
  <c r="C56" i="11"/>
  <c r="H55" i="11"/>
  <c r="G55" i="11"/>
  <c r="F55" i="11"/>
  <c r="E55" i="11"/>
  <c r="D55" i="11"/>
  <c r="C55" i="11"/>
  <c r="H54" i="11"/>
  <c r="G54" i="11"/>
  <c r="F54" i="11"/>
  <c r="E54" i="11"/>
  <c r="D54" i="11"/>
  <c r="C54" i="11"/>
  <c r="H53" i="11"/>
  <c r="G53" i="11"/>
  <c r="F53" i="11"/>
  <c r="E53" i="11"/>
  <c r="D53" i="11"/>
  <c r="C53" i="11"/>
  <c r="H52" i="11"/>
  <c r="G52" i="11"/>
  <c r="F52" i="11"/>
  <c r="E52" i="11"/>
  <c r="D52" i="11"/>
  <c r="C52" i="11"/>
  <c r="H51" i="11"/>
  <c r="G51" i="11"/>
  <c r="F51" i="11"/>
  <c r="E51" i="11"/>
  <c r="D51" i="11"/>
  <c r="C51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H48" i="11"/>
  <c r="G48" i="11"/>
  <c r="F48" i="11"/>
  <c r="E48" i="11"/>
  <c r="D48" i="11"/>
  <c r="C48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44" i="11"/>
  <c r="G44" i="11"/>
  <c r="F44" i="11"/>
  <c r="E44" i="11"/>
  <c r="D44" i="11"/>
  <c r="C44" i="11"/>
  <c r="H43" i="11"/>
  <c r="G43" i="11"/>
  <c r="F43" i="11"/>
  <c r="E43" i="11"/>
  <c r="D43" i="11"/>
  <c r="C43" i="11"/>
  <c r="H42" i="11"/>
  <c r="G42" i="11"/>
  <c r="F42" i="11"/>
  <c r="E42" i="11"/>
  <c r="D42" i="11"/>
  <c r="C42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F36" i="11"/>
  <c r="E36" i="11"/>
  <c r="D36" i="11"/>
  <c r="C36" i="11"/>
  <c r="H35" i="11"/>
  <c r="G35" i="11"/>
  <c r="F35" i="11"/>
  <c r="E35" i="11"/>
  <c r="D35" i="11"/>
  <c r="C35" i="11"/>
  <c r="H34" i="11"/>
  <c r="G34" i="11"/>
  <c r="F34" i="11"/>
  <c r="E34" i="11"/>
  <c r="D34" i="11"/>
  <c r="C34" i="11"/>
  <c r="H33" i="11"/>
  <c r="G33" i="11"/>
  <c r="F33" i="11"/>
  <c r="E33" i="11"/>
  <c r="D33" i="11"/>
  <c r="C33" i="11"/>
  <c r="H32" i="11"/>
  <c r="G32" i="11"/>
  <c r="F32" i="11"/>
  <c r="E32" i="11"/>
  <c r="D32" i="11"/>
  <c r="C32" i="11"/>
  <c r="H31" i="11"/>
  <c r="G31" i="11"/>
  <c r="F31" i="11"/>
  <c r="E31" i="11"/>
  <c r="D31" i="11"/>
  <c r="C31" i="11"/>
  <c r="H30" i="11"/>
  <c r="G30" i="11"/>
  <c r="F30" i="11"/>
  <c r="E30" i="11"/>
  <c r="D30" i="11"/>
  <c r="C30" i="11"/>
  <c r="H29" i="11"/>
  <c r="G29" i="11"/>
  <c r="F29" i="11"/>
  <c r="E29" i="11"/>
  <c r="D29" i="11"/>
  <c r="C29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6" i="11"/>
  <c r="G26" i="11"/>
  <c r="F26" i="11"/>
  <c r="E26" i="11"/>
  <c r="D26" i="11"/>
  <c r="C26" i="11"/>
  <c r="H25" i="11"/>
  <c r="G25" i="11"/>
  <c r="F25" i="11"/>
  <c r="E25" i="11"/>
  <c r="D25" i="11"/>
  <c r="C25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H22" i="11"/>
  <c r="G22" i="11"/>
  <c r="F22" i="11"/>
  <c r="E22" i="11"/>
  <c r="D22" i="11"/>
  <c r="C22" i="11"/>
  <c r="H21" i="11"/>
  <c r="G21" i="11"/>
  <c r="F21" i="11"/>
  <c r="E21" i="11"/>
  <c r="D21" i="11"/>
  <c r="C21" i="11"/>
  <c r="H20" i="11"/>
  <c r="G20" i="11"/>
  <c r="F20" i="11"/>
  <c r="E20" i="11"/>
  <c r="D20" i="11"/>
  <c r="C20" i="11"/>
  <c r="H19" i="11"/>
  <c r="G19" i="11"/>
  <c r="F19" i="11"/>
  <c r="E19" i="11"/>
  <c r="D19" i="11"/>
  <c r="C19" i="11"/>
  <c r="H18" i="11"/>
  <c r="G18" i="11"/>
  <c r="F18" i="11"/>
  <c r="E18" i="11"/>
  <c r="D18" i="11"/>
  <c r="C18" i="11"/>
  <c r="H17" i="11"/>
  <c r="G17" i="11"/>
  <c r="F17" i="11"/>
  <c r="E17" i="11"/>
  <c r="D17" i="11"/>
  <c r="C17" i="11"/>
  <c r="H16" i="11"/>
  <c r="G16" i="11"/>
  <c r="F16" i="11"/>
  <c r="E16" i="11"/>
  <c r="D16" i="11"/>
  <c r="C16" i="11"/>
  <c r="H15" i="11"/>
  <c r="G15" i="11"/>
  <c r="F15" i="11"/>
  <c r="E15" i="11"/>
  <c r="D15" i="11"/>
  <c r="C15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2" i="11"/>
  <c r="G12" i="11"/>
  <c r="F12" i="11"/>
  <c r="E12" i="11"/>
  <c r="D12" i="11"/>
  <c r="C12" i="11"/>
  <c r="N7" i="9"/>
  <c r="O7" i="9"/>
  <c r="P7" i="9"/>
  <c r="Q7" i="9"/>
  <c r="R7" i="9"/>
  <c r="S7" i="9"/>
  <c r="N8" i="9"/>
  <c r="O8" i="9"/>
  <c r="P8" i="9"/>
  <c r="Q8" i="9"/>
  <c r="R8" i="9"/>
  <c r="S8" i="9"/>
  <c r="N9" i="9"/>
  <c r="O9" i="9"/>
  <c r="P9" i="9"/>
  <c r="Q9" i="9"/>
  <c r="R9" i="9"/>
  <c r="S9" i="9"/>
  <c r="N10" i="9"/>
  <c r="O10" i="9"/>
  <c r="P10" i="9"/>
  <c r="Q10" i="9"/>
  <c r="R10" i="9"/>
  <c r="S10" i="9"/>
  <c r="N11" i="9"/>
  <c r="O11" i="9"/>
  <c r="P11" i="9"/>
  <c r="Q11" i="9"/>
  <c r="R11" i="9"/>
  <c r="S11" i="9"/>
  <c r="N12" i="9"/>
  <c r="O12" i="9"/>
  <c r="P12" i="9"/>
  <c r="Q12" i="9"/>
  <c r="R12" i="9"/>
  <c r="S12" i="9"/>
  <c r="N13" i="9"/>
  <c r="O13" i="9"/>
  <c r="P13" i="9"/>
  <c r="Q13" i="9"/>
  <c r="R13" i="9"/>
  <c r="S13" i="9"/>
  <c r="N14" i="9"/>
  <c r="O14" i="9"/>
  <c r="P14" i="9"/>
  <c r="Q14" i="9"/>
  <c r="R14" i="9"/>
  <c r="S14" i="9"/>
  <c r="G15" i="5" l="1"/>
  <c r="F15" i="5"/>
  <c r="E15" i="5"/>
  <c r="D15" i="5"/>
  <c r="G7" i="5"/>
  <c r="F7" i="5"/>
  <c r="E7" i="5"/>
  <c r="D7" i="5"/>
  <c r="I56" i="11" l="1"/>
  <c r="I54" i="11"/>
  <c r="I52" i="11"/>
  <c r="I50" i="11"/>
  <c r="I48" i="11"/>
  <c r="I46" i="11"/>
  <c r="I44" i="11"/>
  <c r="I42" i="11"/>
  <c r="I40" i="11"/>
  <c r="I38" i="11"/>
  <c r="I36" i="11"/>
  <c r="I34" i="11"/>
  <c r="I32" i="11"/>
  <c r="I30" i="11"/>
  <c r="I28" i="11"/>
  <c r="I26" i="11"/>
  <c r="I24" i="11"/>
  <c r="I22" i="11"/>
  <c r="I20" i="11"/>
  <c r="I18" i="11"/>
  <c r="I16" i="11"/>
  <c r="I14" i="11"/>
  <c r="I55" i="11"/>
  <c r="I53" i="11"/>
  <c r="I51" i="11"/>
  <c r="I49" i="11"/>
  <c r="I47" i="11"/>
  <c r="I45" i="11"/>
  <c r="I43" i="11"/>
  <c r="I41" i="11"/>
  <c r="I39" i="11"/>
  <c r="I37" i="11"/>
  <c r="I35" i="11"/>
  <c r="I33" i="11"/>
  <c r="I31" i="11"/>
  <c r="I29" i="11"/>
  <c r="I27" i="11"/>
  <c r="I25" i="11"/>
  <c r="I23" i="11"/>
  <c r="I21" i="11"/>
  <c r="I19" i="11"/>
  <c r="I17" i="11"/>
  <c r="I15" i="11"/>
  <c r="I13" i="11"/>
  <c r="AA56" i="11"/>
  <c r="AA55" i="11"/>
  <c r="AA53" i="11"/>
  <c r="AA51" i="11"/>
  <c r="AA49" i="11"/>
  <c r="AA47" i="11"/>
  <c r="AA45" i="11"/>
  <c r="AA43" i="11"/>
  <c r="AA41" i="11"/>
  <c r="AA39" i="11"/>
  <c r="AA37" i="11"/>
  <c r="AA35" i="11"/>
  <c r="AA33" i="11"/>
  <c r="AA31" i="11"/>
  <c r="AA29" i="11"/>
  <c r="AA27" i="11"/>
  <c r="AA25" i="11"/>
  <c r="AA23" i="11"/>
  <c r="AA18" i="11"/>
  <c r="AA16" i="11"/>
  <c r="AA14" i="11"/>
  <c r="AA12" i="11"/>
  <c r="R55" i="11"/>
  <c r="R53" i="11"/>
  <c r="R51" i="11"/>
  <c r="R49" i="11"/>
  <c r="R47" i="11"/>
  <c r="R45" i="11"/>
  <c r="R43" i="11"/>
  <c r="R41" i="11"/>
  <c r="R39" i="11"/>
  <c r="R37" i="11"/>
  <c r="R35" i="11"/>
  <c r="R33" i="11"/>
  <c r="R31" i="11"/>
  <c r="R29" i="11"/>
  <c r="R27" i="11"/>
  <c r="R25" i="11"/>
  <c r="R23" i="11"/>
  <c r="R21" i="11"/>
  <c r="U7" i="11"/>
  <c r="L7" i="11"/>
  <c r="C7" i="11"/>
  <c r="Y47" i="10"/>
  <c r="X47" i="10"/>
  <c r="W47" i="10"/>
  <c r="V47" i="10"/>
  <c r="U47" i="10"/>
  <c r="T47" i="10"/>
  <c r="Y46" i="10"/>
  <c r="X46" i="10"/>
  <c r="W46" i="10"/>
  <c r="V46" i="10"/>
  <c r="U46" i="10"/>
  <c r="T46" i="10"/>
  <c r="Y45" i="10"/>
  <c r="X45" i="10"/>
  <c r="W45" i="10"/>
  <c r="V45" i="10"/>
  <c r="U45" i="10"/>
  <c r="T45" i="10"/>
  <c r="Y44" i="10"/>
  <c r="X44" i="10"/>
  <c r="W44" i="10"/>
  <c r="V44" i="10"/>
  <c r="U44" i="10"/>
  <c r="T44" i="10"/>
  <c r="Y43" i="10"/>
  <c r="X43" i="10"/>
  <c r="W43" i="10"/>
  <c r="V43" i="10"/>
  <c r="U43" i="10"/>
  <c r="T43" i="10"/>
  <c r="Y42" i="10"/>
  <c r="X42" i="10"/>
  <c r="W42" i="10"/>
  <c r="V42" i="10"/>
  <c r="U42" i="10"/>
  <c r="T42" i="10"/>
  <c r="Y41" i="10"/>
  <c r="X41" i="10"/>
  <c r="W41" i="10"/>
  <c r="V41" i="10"/>
  <c r="U41" i="10"/>
  <c r="T41" i="10"/>
  <c r="Y40" i="10"/>
  <c r="X40" i="10"/>
  <c r="W40" i="10"/>
  <c r="V40" i="10"/>
  <c r="U40" i="10"/>
  <c r="T40" i="10"/>
  <c r="Y39" i="10"/>
  <c r="X39" i="10"/>
  <c r="W39" i="10"/>
  <c r="V39" i="10"/>
  <c r="U39" i="10"/>
  <c r="T39" i="10"/>
  <c r="Y38" i="10"/>
  <c r="X38" i="10"/>
  <c r="W38" i="10"/>
  <c r="V38" i="10"/>
  <c r="U38" i="10"/>
  <c r="T38" i="10"/>
  <c r="Y37" i="10"/>
  <c r="X37" i="10"/>
  <c r="W37" i="10"/>
  <c r="V37" i="10"/>
  <c r="U37" i="10"/>
  <c r="T37" i="10"/>
  <c r="Y36" i="10"/>
  <c r="X36" i="10"/>
  <c r="W36" i="10"/>
  <c r="V36" i="10"/>
  <c r="U36" i="10"/>
  <c r="T36" i="10"/>
  <c r="Y35" i="10"/>
  <c r="X35" i="10"/>
  <c r="W35" i="10"/>
  <c r="V35" i="10"/>
  <c r="U35" i="10"/>
  <c r="T35" i="10"/>
  <c r="Y34" i="10"/>
  <c r="X34" i="10"/>
  <c r="W34" i="10"/>
  <c r="V34" i="10"/>
  <c r="U34" i="10"/>
  <c r="T34" i="10"/>
  <c r="Y33" i="10"/>
  <c r="X33" i="10"/>
  <c r="W33" i="10"/>
  <c r="V33" i="10"/>
  <c r="U33" i="10"/>
  <c r="T33" i="10"/>
  <c r="Y32" i="10"/>
  <c r="X32" i="10"/>
  <c r="W32" i="10"/>
  <c r="V32" i="10"/>
  <c r="U32" i="10"/>
  <c r="T32" i="10"/>
  <c r="Y31" i="10"/>
  <c r="X31" i="10"/>
  <c r="W31" i="10"/>
  <c r="V31" i="10"/>
  <c r="U31" i="10"/>
  <c r="T31" i="10"/>
  <c r="Y30" i="10"/>
  <c r="X30" i="10"/>
  <c r="W30" i="10"/>
  <c r="V30" i="10"/>
  <c r="U30" i="10"/>
  <c r="T30" i="10"/>
  <c r="Y29" i="10"/>
  <c r="X29" i="10"/>
  <c r="W29" i="10"/>
  <c r="V29" i="10"/>
  <c r="U29" i="10"/>
  <c r="T29" i="10"/>
  <c r="Y28" i="10"/>
  <c r="X28" i="10"/>
  <c r="W28" i="10"/>
  <c r="V28" i="10"/>
  <c r="U28" i="10"/>
  <c r="T28" i="10"/>
  <c r="Y27" i="10"/>
  <c r="X27" i="10"/>
  <c r="W27" i="10"/>
  <c r="V27" i="10"/>
  <c r="U27" i="10"/>
  <c r="T27" i="10"/>
  <c r="Y26" i="10"/>
  <c r="X26" i="10"/>
  <c r="W26" i="10"/>
  <c r="V26" i="10"/>
  <c r="U26" i="10"/>
  <c r="T26" i="10"/>
  <c r="Y25" i="10"/>
  <c r="X25" i="10"/>
  <c r="W25" i="10"/>
  <c r="V25" i="10"/>
  <c r="U25" i="10"/>
  <c r="T25" i="10"/>
  <c r="Y24" i="10"/>
  <c r="X24" i="10"/>
  <c r="W24" i="10"/>
  <c r="V24" i="10"/>
  <c r="U24" i="10"/>
  <c r="T24" i="10"/>
  <c r="Y23" i="10"/>
  <c r="X23" i="10"/>
  <c r="W23" i="10"/>
  <c r="V23" i="10"/>
  <c r="U23" i="10"/>
  <c r="T23" i="10"/>
  <c r="Y22" i="10"/>
  <c r="X22" i="10"/>
  <c r="W22" i="10"/>
  <c r="V22" i="10"/>
  <c r="U22" i="10"/>
  <c r="T22" i="10"/>
  <c r="Y21" i="10"/>
  <c r="X21" i="10"/>
  <c r="W21" i="10"/>
  <c r="V21" i="10"/>
  <c r="U21" i="10"/>
  <c r="T21" i="10"/>
  <c r="Y20" i="10"/>
  <c r="X20" i="10"/>
  <c r="W20" i="10"/>
  <c r="V20" i="10"/>
  <c r="U20" i="10"/>
  <c r="T20" i="10"/>
  <c r="Y19" i="10"/>
  <c r="X19" i="10"/>
  <c r="W19" i="10"/>
  <c r="V19" i="10"/>
  <c r="U19" i="10"/>
  <c r="T19" i="10"/>
  <c r="Y18" i="10"/>
  <c r="X18" i="10"/>
  <c r="W18" i="10"/>
  <c r="V18" i="10"/>
  <c r="U18" i="10"/>
  <c r="T18" i="10"/>
  <c r="Y17" i="10"/>
  <c r="X17" i="10"/>
  <c r="W17" i="10"/>
  <c r="V17" i="10"/>
  <c r="U17" i="10"/>
  <c r="T17" i="10"/>
  <c r="Y16" i="10"/>
  <c r="X16" i="10"/>
  <c r="W16" i="10"/>
  <c r="V16" i="10"/>
  <c r="U16" i="10"/>
  <c r="T16" i="10"/>
  <c r="Y15" i="10"/>
  <c r="X15" i="10"/>
  <c r="W15" i="10"/>
  <c r="V15" i="10"/>
  <c r="U15" i="10"/>
  <c r="T15" i="10"/>
  <c r="Y14" i="10"/>
  <c r="X14" i="10"/>
  <c r="W14" i="10"/>
  <c r="V14" i="10"/>
  <c r="U14" i="10"/>
  <c r="T14" i="10"/>
  <c r="Y13" i="10"/>
  <c r="X13" i="10"/>
  <c r="W13" i="10"/>
  <c r="V13" i="10"/>
  <c r="U13" i="10"/>
  <c r="T13" i="10"/>
  <c r="Y12" i="10"/>
  <c r="X12" i="10"/>
  <c r="W12" i="10"/>
  <c r="V12" i="10"/>
  <c r="U12" i="10"/>
  <c r="T12" i="10"/>
  <c r="Y11" i="10"/>
  <c r="X11" i="10"/>
  <c r="W11" i="10"/>
  <c r="V11" i="10"/>
  <c r="U11" i="10"/>
  <c r="T11" i="10"/>
  <c r="Y10" i="10"/>
  <c r="X10" i="10"/>
  <c r="W10" i="10"/>
  <c r="V10" i="10"/>
  <c r="U10" i="10"/>
  <c r="T10" i="10"/>
  <c r="Y9" i="10"/>
  <c r="X9" i="10"/>
  <c r="W9" i="10"/>
  <c r="V9" i="10"/>
  <c r="U9" i="10"/>
  <c r="T9" i="10"/>
  <c r="Y8" i="10"/>
  <c r="X8" i="10"/>
  <c r="W8" i="10"/>
  <c r="V8" i="10"/>
  <c r="U8" i="10"/>
  <c r="T8" i="10"/>
  <c r="Y7" i="10"/>
  <c r="X7" i="10"/>
  <c r="W7" i="10"/>
  <c r="V7" i="10"/>
  <c r="U7" i="10"/>
  <c r="T7" i="10"/>
  <c r="Y6" i="10"/>
  <c r="X6" i="10"/>
  <c r="W6" i="10"/>
  <c r="V6" i="10"/>
  <c r="U6" i="10"/>
  <c r="T6" i="10"/>
  <c r="Y5" i="10"/>
  <c r="X5" i="10"/>
  <c r="W5" i="10"/>
  <c r="V5" i="10"/>
  <c r="U5" i="10"/>
  <c r="T5" i="10"/>
  <c r="Y4" i="10"/>
  <c r="X4" i="10"/>
  <c r="W4" i="10"/>
  <c r="V4" i="10"/>
  <c r="U4" i="10"/>
  <c r="T4" i="10"/>
  <c r="Y3" i="10"/>
  <c r="X3" i="10"/>
  <c r="W3" i="10"/>
  <c r="V3" i="10"/>
  <c r="U3" i="10"/>
  <c r="T3" i="10"/>
  <c r="R15" i="11" l="1"/>
  <c r="R17" i="11"/>
  <c r="R19" i="11"/>
  <c r="R13" i="11"/>
  <c r="AA20" i="11"/>
  <c r="AA48" i="11"/>
  <c r="AA54" i="11"/>
  <c r="R48" i="11"/>
  <c r="R50" i="11"/>
  <c r="R52" i="11"/>
  <c r="R54" i="11"/>
  <c r="R56" i="11"/>
  <c r="AA40" i="11"/>
  <c r="AA50" i="11"/>
  <c r="AA13" i="11"/>
  <c r="AA15" i="11"/>
  <c r="AA17" i="11"/>
  <c r="AA19" i="11"/>
  <c r="AA22" i="11"/>
  <c r="AA24" i="11"/>
  <c r="AA26" i="11"/>
  <c r="AA46" i="11"/>
  <c r="AA28" i="11"/>
  <c r="AA30" i="11"/>
  <c r="AA32" i="11"/>
  <c r="AA34" i="11"/>
  <c r="AA36" i="11"/>
  <c r="AA38" i="11"/>
  <c r="AA42" i="11"/>
  <c r="AA44" i="11"/>
  <c r="R12" i="11"/>
  <c r="R14" i="11"/>
  <c r="R16" i="11"/>
  <c r="R18" i="11"/>
  <c r="R20" i="11"/>
  <c r="R22" i="11"/>
  <c r="R24" i="11"/>
  <c r="R26" i="11"/>
  <c r="R28" i="11"/>
  <c r="R30" i="11"/>
  <c r="R32" i="11"/>
  <c r="R34" i="11"/>
  <c r="R36" i="11"/>
  <c r="R38" i="11"/>
  <c r="R40" i="11"/>
  <c r="R42" i="11"/>
  <c r="R44" i="11"/>
  <c r="R46" i="11"/>
  <c r="AA52" i="11"/>
  <c r="AA21" i="11"/>
  <c r="I12" i="11"/>
  <c r="D24" i="5"/>
  <c r="D23" i="5"/>
  <c r="D22" i="5"/>
  <c r="D21" i="5"/>
  <c r="D20" i="5"/>
  <c r="D19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G16" i="5"/>
  <c r="F16" i="5"/>
  <c r="E16" i="5"/>
  <c r="D16" i="5"/>
  <c r="G9" i="5"/>
  <c r="F9" i="5"/>
  <c r="E9" i="5"/>
  <c r="D9" i="5"/>
  <c r="G17" i="5"/>
  <c r="F17" i="5"/>
  <c r="E17" i="5"/>
  <c r="D17" i="5"/>
  <c r="D18" i="5" l="1"/>
  <c r="D11" i="5"/>
  <c r="D10" i="5"/>
  <c r="D8" i="5"/>
  <c r="D6" i="5"/>
  <c r="D5" i="5"/>
  <c r="L7" i="8"/>
  <c r="D4" i="5" l="1"/>
  <c r="U7" i="8"/>
  <c r="R12" i="8" l="1"/>
  <c r="AA12" i="8"/>
  <c r="AA56" i="8"/>
  <c r="AA55" i="8"/>
  <c r="AA54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I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I13" i="8"/>
  <c r="U7" i="9"/>
  <c r="AB7" i="9" s="1"/>
  <c r="AI7" i="9" s="1"/>
  <c r="AP7" i="9" s="1"/>
  <c r="AW7" i="9" s="1"/>
  <c r="E11" i="5"/>
  <c r="F11" i="5"/>
  <c r="G11" i="5"/>
  <c r="U8" i="9"/>
  <c r="AB8" i="9" s="1"/>
  <c r="AI8" i="9" s="1"/>
  <c r="AP8" i="9" s="1"/>
  <c r="AW8" i="9" s="1"/>
  <c r="V8" i="9"/>
  <c r="AC8" i="9" s="1"/>
  <c r="AJ8" i="9" s="1"/>
  <c r="AQ8" i="9" s="1"/>
  <c r="AX8" i="9" s="1"/>
  <c r="W8" i="9"/>
  <c r="AD8" i="9" s="1"/>
  <c r="AK8" i="9" s="1"/>
  <c r="AR8" i="9" s="1"/>
  <c r="AY8" i="9" s="1"/>
  <c r="X8" i="9"/>
  <c r="AE8" i="9" s="1"/>
  <c r="AL8" i="9" s="1"/>
  <c r="AS8" i="9" s="1"/>
  <c r="AZ8" i="9" s="1"/>
  <c r="Y8" i="9"/>
  <c r="AF8" i="9" s="1"/>
  <c r="AM8" i="9" s="1"/>
  <c r="AT8" i="9" s="1"/>
  <c r="BA8" i="9" s="1"/>
  <c r="Z8" i="9"/>
  <c r="AG8" i="9" s="1"/>
  <c r="AN8" i="9" s="1"/>
  <c r="AU8" i="9" s="1"/>
  <c r="BB8" i="9" s="1"/>
  <c r="Z7" i="9"/>
  <c r="AG7" i="9" s="1"/>
  <c r="AN7" i="9" s="1"/>
  <c r="AU7" i="9" s="1"/>
  <c r="BB7" i="9" s="1"/>
  <c r="Y7" i="9"/>
  <c r="AF7" i="9" s="1"/>
  <c r="AM7" i="9" s="1"/>
  <c r="AT7" i="9" s="1"/>
  <c r="BA7" i="9" s="1"/>
  <c r="X7" i="9"/>
  <c r="AE7" i="9" s="1"/>
  <c r="AL7" i="9" s="1"/>
  <c r="AS7" i="9" s="1"/>
  <c r="AZ7" i="9" s="1"/>
  <c r="W7" i="9"/>
  <c r="AD7" i="9" s="1"/>
  <c r="AK7" i="9" s="1"/>
  <c r="AR7" i="9" s="1"/>
  <c r="AY7" i="9" s="1"/>
  <c r="V7" i="9"/>
  <c r="AC7" i="9" s="1"/>
  <c r="AJ7" i="9" s="1"/>
  <c r="AQ7" i="9" s="1"/>
  <c r="AX7" i="9" s="1"/>
  <c r="V9" i="9"/>
  <c r="AC9" i="9" s="1"/>
  <c r="AJ9" i="9" s="1"/>
  <c r="AQ9" i="9" s="1"/>
  <c r="AX9" i="9" s="1"/>
  <c r="W9" i="9"/>
  <c r="AD9" i="9" s="1"/>
  <c r="AK9" i="9" s="1"/>
  <c r="AR9" i="9" s="1"/>
  <c r="AY9" i="9" s="1"/>
  <c r="U9" i="9"/>
  <c r="AB9" i="9" s="1"/>
  <c r="AI9" i="9" s="1"/>
  <c r="AP9" i="9" s="1"/>
  <c r="AW9" i="9" s="1"/>
  <c r="X9" i="9"/>
  <c r="AE9" i="9" s="1"/>
  <c r="AL9" i="9" s="1"/>
  <c r="AS9" i="9" s="1"/>
  <c r="AZ9" i="9" s="1"/>
  <c r="Y9" i="9"/>
  <c r="AF9" i="9" s="1"/>
  <c r="AM9" i="9" s="1"/>
  <c r="AT9" i="9" s="1"/>
  <c r="BA9" i="9" s="1"/>
  <c r="Z9" i="9"/>
  <c r="AG9" i="9" s="1"/>
  <c r="AN9" i="9" s="1"/>
  <c r="AU9" i="9" s="1"/>
  <c r="BB9" i="9" s="1"/>
  <c r="U10" i="9"/>
  <c r="AB10" i="9" s="1"/>
  <c r="AI10" i="9" s="1"/>
  <c r="AP10" i="9" s="1"/>
  <c r="AW10" i="9" s="1"/>
  <c r="V10" i="9"/>
  <c r="AC10" i="9" s="1"/>
  <c r="AJ10" i="9" s="1"/>
  <c r="AQ10" i="9" s="1"/>
  <c r="AX10" i="9" s="1"/>
  <c r="W10" i="9"/>
  <c r="AD10" i="9" s="1"/>
  <c r="AK10" i="9" s="1"/>
  <c r="AR10" i="9" s="1"/>
  <c r="AY10" i="9" s="1"/>
  <c r="X10" i="9"/>
  <c r="AE10" i="9" s="1"/>
  <c r="AL10" i="9" s="1"/>
  <c r="AS10" i="9" s="1"/>
  <c r="AZ10" i="9" s="1"/>
  <c r="Y10" i="9"/>
  <c r="AF10" i="9" s="1"/>
  <c r="AM10" i="9" s="1"/>
  <c r="AT10" i="9" s="1"/>
  <c r="BA10" i="9" s="1"/>
  <c r="Z10" i="9"/>
  <c r="AG10" i="9" s="1"/>
  <c r="AN10" i="9" s="1"/>
  <c r="AU10" i="9" s="1"/>
  <c r="BB10" i="9" s="1"/>
  <c r="U11" i="9"/>
  <c r="AB11" i="9" s="1"/>
  <c r="AI11" i="9" s="1"/>
  <c r="AP11" i="9" s="1"/>
  <c r="AW11" i="9" s="1"/>
  <c r="V11" i="9"/>
  <c r="AC11" i="9" s="1"/>
  <c r="AJ11" i="9" s="1"/>
  <c r="AQ11" i="9" s="1"/>
  <c r="AX11" i="9" s="1"/>
  <c r="W11" i="9"/>
  <c r="AD11" i="9" s="1"/>
  <c r="AK11" i="9" s="1"/>
  <c r="AR11" i="9" s="1"/>
  <c r="AY11" i="9" s="1"/>
  <c r="X11" i="9"/>
  <c r="AE11" i="9" s="1"/>
  <c r="AL11" i="9" s="1"/>
  <c r="AS11" i="9" s="1"/>
  <c r="AZ11" i="9" s="1"/>
  <c r="Y11" i="9"/>
  <c r="AF11" i="9" s="1"/>
  <c r="AM11" i="9" s="1"/>
  <c r="AT11" i="9" s="1"/>
  <c r="BA11" i="9" s="1"/>
  <c r="Z11" i="9"/>
  <c r="AG11" i="9" s="1"/>
  <c r="AN11" i="9" s="1"/>
  <c r="AU11" i="9" s="1"/>
  <c r="BB11" i="9" s="1"/>
  <c r="U12" i="9"/>
  <c r="AB12" i="9" s="1"/>
  <c r="AI12" i="9" s="1"/>
  <c r="AP12" i="9" s="1"/>
  <c r="AW12" i="9" s="1"/>
  <c r="V12" i="9"/>
  <c r="AC12" i="9" s="1"/>
  <c r="AJ12" i="9" s="1"/>
  <c r="AQ12" i="9" s="1"/>
  <c r="AX12" i="9" s="1"/>
  <c r="W12" i="9"/>
  <c r="AD12" i="9" s="1"/>
  <c r="AK12" i="9" s="1"/>
  <c r="AR12" i="9" s="1"/>
  <c r="AY12" i="9" s="1"/>
  <c r="X12" i="9"/>
  <c r="AE12" i="9" s="1"/>
  <c r="AL12" i="9" s="1"/>
  <c r="AS12" i="9" s="1"/>
  <c r="AZ12" i="9" s="1"/>
  <c r="Y12" i="9"/>
  <c r="AF12" i="9" s="1"/>
  <c r="AM12" i="9" s="1"/>
  <c r="AT12" i="9" s="1"/>
  <c r="BA12" i="9" s="1"/>
  <c r="Z12" i="9"/>
  <c r="AG12" i="9" s="1"/>
  <c r="AN12" i="9" s="1"/>
  <c r="AU12" i="9" s="1"/>
  <c r="BB12" i="9" s="1"/>
  <c r="U13" i="9"/>
  <c r="AB13" i="9" s="1"/>
  <c r="AI13" i="9" s="1"/>
  <c r="AP13" i="9" s="1"/>
  <c r="AW13" i="9" s="1"/>
  <c r="V13" i="9"/>
  <c r="AC13" i="9" s="1"/>
  <c r="AJ13" i="9" s="1"/>
  <c r="AQ13" i="9" s="1"/>
  <c r="AX13" i="9" s="1"/>
  <c r="W13" i="9"/>
  <c r="AD13" i="9" s="1"/>
  <c r="AK13" i="9" s="1"/>
  <c r="AR13" i="9" s="1"/>
  <c r="AY13" i="9" s="1"/>
  <c r="X13" i="9"/>
  <c r="AE13" i="9" s="1"/>
  <c r="AL13" i="9" s="1"/>
  <c r="AS13" i="9" s="1"/>
  <c r="AZ13" i="9" s="1"/>
  <c r="Y13" i="9"/>
  <c r="AF13" i="9" s="1"/>
  <c r="AM13" i="9" s="1"/>
  <c r="AT13" i="9" s="1"/>
  <c r="BA13" i="9" s="1"/>
  <c r="Z13" i="9"/>
  <c r="AG13" i="9" s="1"/>
  <c r="AN13" i="9" s="1"/>
  <c r="AU13" i="9" s="1"/>
  <c r="BB13" i="9" s="1"/>
  <c r="U14" i="9"/>
  <c r="AB14" i="9" s="1"/>
  <c r="AI14" i="9" s="1"/>
  <c r="AP14" i="9" s="1"/>
  <c r="AW14" i="9" s="1"/>
  <c r="V14" i="9"/>
  <c r="AC14" i="9" s="1"/>
  <c r="AJ14" i="9" s="1"/>
  <c r="AQ14" i="9" s="1"/>
  <c r="AX14" i="9" s="1"/>
  <c r="W14" i="9"/>
  <c r="AD14" i="9" s="1"/>
  <c r="AK14" i="9" s="1"/>
  <c r="AR14" i="9" s="1"/>
  <c r="AY14" i="9" s="1"/>
  <c r="X14" i="9"/>
  <c r="AE14" i="9" s="1"/>
  <c r="AL14" i="9" s="1"/>
  <c r="AS14" i="9" s="1"/>
  <c r="AZ14" i="9" s="1"/>
  <c r="Y14" i="9"/>
  <c r="AF14" i="9" s="1"/>
  <c r="AM14" i="9" s="1"/>
  <c r="AT14" i="9" s="1"/>
  <c r="BA14" i="9" s="1"/>
  <c r="Z14" i="9"/>
  <c r="AG14" i="9" s="1"/>
  <c r="AN14" i="9" s="1"/>
  <c r="AU14" i="9" s="1"/>
  <c r="BB14" i="9" s="1"/>
  <c r="G18" i="5"/>
  <c r="F18" i="5"/>
  <c r="E18" i="5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F4" i="5"/>
  <c r="F5" i="5"/>
  <c r="F6" i="5"/>
  <c r="F8" i="5"/>
  <c r="F10" i="5"/>
  <c r="G10" i="5"/>
  <c r="E10" i="5"/>
  <c r="G8" i="5"/>
  <c r="E8" i="5"/>
  <c r="G6" i="5"/>
  <c r="E6" i="5"/>
  <c r="G5" i="5"/>
  <c r="E5" i="5"/>
  <c r="G4" i="5"/>
  <c r="E4" i="5"/>
  <c r="C7" i="8"/>
  <c r="D26" i="5" l="1"/>
  <c r="D30" i="5" s="1"/>
</calcChain>
</file>

<file path=xl/sharedStrings.xml><?xml version="1.0" encoding="utf-8"?>
<sst xmlns="http://schemas.openxmlformats.org/spreadsheetml/2006/main" count="3783" uniqueCount="965">
  <si>
    <t>◎＝良く伸びる　◯＝伸びる　△＝伸びない　×＝特に伸びない</t>
  </si>
  <si>
    <t>性格</t>
  </si>
  <si>
    <t>伸び率</t>
  </si>
  <si>
    <t>二次</t>
  </si>
  <si>
    <t>覚醒</t>
  </si>
  <si>
    <t>Lv</t>
  </si>
  <si>
    <t>HP</t>
  </si>
  <si>
    <t>MP</t>
  </si>
  <si>
    <t>攻撃</t>
  </si>
  <si>
    <t>守備</t>
  </si>
  <si>
    <t>素早さ</t>
  </si>
  <si>
    <t>賢さ</t>
  </si>
  <si>
    <t>あたまでっかち</t>
  </si>
  <si>
    <t>×</t>
  </si>
  <si>
    <t>◎</t>
  </si>
  <si>
    <t>あまえんぼう</t>
  </si>
  <si>
    <t>△</t>
  </si>
  <si>
    <t> いくじなし</t>
  </si>
  <si>
    <t> △</t>
  </si>
  <si>
    <t>◯</t>
  </si>
  <si>
    <t> いっぴきおおかみ</t>
  </si>
  <si>
    <t>いのちしらず</t>
  </si>
  <si>
    <t>うっかりもの</t>
  </si>
  <si>
    <t>おおぐらい</t>
  </si>
  <si>
    <t>おじょうさま</t>
  </si>
  <si>
    <t>おせっかい</t>
  </si>
  <si>
    <t>おちょうしもの</t>
  </si>
  <si>
    <t>一次</t>
  </si>
  <si>
    <t> おっちょこちょい</t>
  </si>
  <si>
    <t>おてんば</t>
  </si>
  <si>
    <t>おとこまさり</t>
  </si>
  <si>
    <t>がんこもの</t>
  </si>
  <si>
    <t>がんばりや</t>
  </si>
  <si>
    <t>きれもの</t>
  </si>
  <si>
    <t>くろうにん</t>
  </si>
  <si>
    <t>ごうけつ</t>
  </si>
  <si>
    <t>さびしがりや</t>
  </si>
  <si>
    <t>しあわせもの</t>
  </si>
  <si>
    <t>しょうじきもの</t>
  </si>
  <si>
    <t>ずのうめいせき</t>
  </si>
  <si>
    <t>すばしっこい</t>
  </si>
  <si>
    <t>セクシーギャル</t>
  </si>
  <si>
    <t>せけんしらず</t>
  </si>
  <si>
    <t>タフガイ</t>
  </si>
  <si>
    <t>ちからじまん</t>
  </si>
  <si>
    <t>てつじん</t>
  </si>
  <si>
    <t>でんこうせっか</t>
  </si>
  <si>
    <t>なきむし</t>
  </si>
  <si>
    <t>なまけもの</t>
  </si>
  <si>
    <t> ◎</t>
  </si>
  <si>
    <t>ぬけめがない</t>
  </si>
  <si>
    <t>ねっけつかん</t>
  </si>
  <si>
    <t>のんきもの</t>
  </si>
  <si>
    <t>ひっこみじあん</t>
  </si>
  <si>
    <t>ひねくれもの</t>
  </si>
  <si>
    <t>ふつう</t>
  </si>
  <si>
    <t>まけずぎらい</t>
  </si>
  <si>
    <t>みえっぱり</t>
  </si>
  <si>
    <t>むっつりスケベ</t>
  </si>
  <si>
    <t>やさしいひと</t>
  </si>
  <si>
    <t>ラッキーマン</t>
  </si>
  <si>
    <t>らんぼうもの</t>
  </si>
  <si>
    <t>ロマンティスト</t>
  </si>
  <si>
    <t>わがまま</t>
  </si>
  <si>
    <t>デイン</t>
  </si>
  <si>
    <t>デイン</t>
    <phoneticPr fontId="3"/>
  </si>
  <si>
    <t>バギ</t>
  </si>
  <si>
    <t>バギ</t>
    <phoneticPr fontId="3"/>
  </si>
  <si>
    <t>ギラ</t>
  </si>
  <si>
    <t>ギラ</t>
    <phoneticPr fontId="3"/>
  </si>
  <si>
    <t>イオ</t>
  </si>
  <si>
    <t>イオ</t>
    <phoneticPr fontId="3"/>
  </si>
  <si>
    <t>ヒャド</t>
  </si>
  <si>
    <t>ヒャド</t>
    <phoneticPr fontId="3"/>
  </si>
  <si>
    <t>モンスター名</t>
    <rPh sb="5" eb="6">
      <t>メイ</t>
    </rPh>
    <phoneticPr fontId="3"/>
  </si>
  <si>
    <t>モーモン</t>
  </si>
  <si>
    <t>気合伝授</t>
    <rPh sb="0" eb="4">
      <t>キアイデンジュ</t>
    </rPh>
    <phoneticPr fontId="3"/>
  </si>
  <si>
    <t>ドルマ</t>
    <phoneticPr fontId="3"/>
  </si>
  <si>
    <t>しましまキャット</t>
  </si>
  <si>
    <t>ランク</t>
    <phoneticPr fontId="3"/>
  </si>
  <si>
    <t>F</t>
  </si>
  <si>
    <t>あまい息</t>
  </si>
  <si>
    <t>ズッキーニャ</t>
  </si>
  <si>
    <t>プリズニャン</t>
  </si>
  <si>
    <t>E</t>
  </si>
  <si>
    <t>初期とくぎ</t>
  </si>
  <si>
    <t>初期とくぎ</t>
    <rPh sb="0" eb="2">
      <t>ショキ</t>
    </rPh>
    <phoneticPr fontId="3"/>
  </si>
  <si>
    <t>メラ</t>
  </si>
  <si>
    <t>ねこまどう</t>
  </si>
  <si>
    <t>おおきづち</t>
  </si>
  <si>
    <t>戦士の砦 周辺
ランドーの家 周辺
セルツェの町 周辺
サシェツの町 周辺</t>
    <phoneticPr fontId="3"/>
  </si>
  <si>
    <t>ファーラット</t>
  </si>
  <si>
    <t>ロジナの村 周辺
リンジー村 周辺
セルツェの町 周辺</t>
    <phoneticPr fontId="3"/>
  </si>
  <si>
    <t>ドラキー</t>
  </si>
  <si>
    <t>ベビーサタン</t>
  </si>
  <si>
    <t>戦士の砦 周辺
サシェツの町 周辺</t>
    <phoneticPr fontId="3"/>
  </si>
  <si>
    <t>ドルイド</t>
  </si>
  <si>
    <t>きとうし</t>
  </si>
  <si>
    <t>メラゴースト</t>
  </si>
  <si>
    <t>おばけきのこ</t>
  </si>
  <si>
    <t>ゴースト</t>
  </si>
  <si>
    <t>おばけキャンドル</t>
  </si>
  <si>
    <t>リンジー村 周辺
ロジナの村 周辺</t>
    <phoneticPr fontId="3"/>
  </si>
  <si>
    <t>マタンゴ</t>
  </si>
  <si>
    <t>火の息</t>
  </si>
  <si>
    <t>つめたい息</t>
  </si>
  <si>
    <t>ドラゴンキッズ</t>
  </si>
  <si>
    <t>キメラ</t>
  </si>
  <si>
    <t>メイジももんじゃ</t>
  </si>
  <si>
    <t>マドハンド</t>
  </si>
  <si>
    <t>くさった死体</t>
  </si>
  <si>
    <t>エツィロプの洞くつ</t>
    <phoneticPr fontId="3"/>
  </si>
  <si>
    <t>No.</t>
  </si>
  <si>
    <t>名称</t>
  </si>
  <si>
    <t>おもさ</t>
  </si>
  <si>
    <t>スライム</t>
  </si>
  <si>
    <t>地上</t>
  </si>
  <si>
    <t>―</t>
  </si>
  <si>
    <t>バブルスライム</t>
  </si>
  <si>
    <t>ホイミスライム</t>
  </si>
  <si>
    <t>ホイミ</t>
  </si>
  <si>
    <t>スライムつむり</t>
  </si>
  <si>
    <t>ラリホー</t>
  </si>
  <si>
    <t>しびれくらげ</t>
  </si>
  <si>
    <t>スライムベス</t>
  </si>
  <si>
    <t>スライムナイト</t>
  </si>
  <si>
    <t>ガップリン</t>
  </si>
  <si>
    <t>いっかくウサギ</t>
  </si>
  <si>
    <t>ベビーパンサー</t>
  </si>
  <si>
    <t>ももんじゃ</t>
  </si>
  <si>
    <t>リリパット</t>
  </si>
  <si>
    <t>遠隔</t>
  </si>
  <si>
    <t>空中</t>
  </si>
  <si>
    <t>いたずらもぐら</t>
  </si>
  <si>
    <t>ためる</t>
  </si>
  <si>
    <t>わらいぶくろ</t>
  </si>
  <si>
    <t>ふしぎな踊り</t>
  </si>
  <si>
    <t>スマイルロック</t>
  </si>
  <si>
    <t>おにこぞう</t>
  </si>
  <si>
    <t>おおめだま</t>
  </si>
  <si>
    <t>メダパニ</t>
  </si>
  <si>
    <t>つちわらし</t>
  </si>
  <si>
    <t>さまようよろい</t>
  </si>
  <si>
    <t>大おばけきのこ</t>
  </si>
  <si>
    <t>D</t>
  </si>
  <si>
    <t>どくの息</t>
  </si>
  <si>
    <t>スライムタワー</t>
  </si>
  <si>
    <t>ベホイミスライム</t>
  </si>
  <si>
    <t>ベホイミ</t>
  </si>
  <si>
    <t>キングスライム</t>
  </si>
  <si>
    <t>ベホマラー</t>
  </si>
  <si>
    <t>メタルスライム</t>
  </si>
  <si>
    <t>ドラゴン</t>
  </si>
  <si>
    <t>サボテンボール</t>
  </si>
  <si>
    <t>ぶっちズキーニャ</t>
  </si>
  <si>
    <t>アローインプ</t>
  </si>
  <si>
    <t>ブラウニー</t>
  </si>
  <si>
    <t>キラースコップ</t>
  </si>
  <si>
    <t>オーク</t>
  </si>
  <si>
    <t>ベンガルクーン</t>
  </si>
  <si>
    <t>マヌーサ</t>
  </si>
  <si>
    <t>モコモコじゅう</t>
  </si>
  <si>
    <t>シールドこぞう</t>
  </si>
  <si>
    <t>げんじゅつし</t>
  </si>
  <si>
    <t>あやしいかげ</t>
  </si>
  <si>
    <t>ばくだんいわ</t>
  </si>
  <si>
    <t>メガンテ</t>
  </si>
  <si>
    <t>ひとくい箱</t>
  </si>
  <si>
    <t>メタルハンター</t>
  </si>
  <si>
    <t>ゴーレム</t>
  </si>
  <si>
    <t>リップス</t>
  </si>
  <si>
    <t>なめまわし</t>
  </si>
  <si>
    <t>びっくりサタン</t>
  </si>
  <si>
    <t>さそう踊り</t>
  </si>
  <si>
    <t>ガーゴイル</t>
  </si>
  <si>
    <t>マホトーン</t>
  </si>
  <si>
    <t>ピクシー</t>
  </si>
  <si>
    <t>ピオリム</t>
  </si>
  <si>
    <t>メイジドラキー</t>
  </si>
  <si>
    <t>つかいま</t>
  </si>
  <si>
    <t>デザートデーモン</t>
  </si>
  <si>
    <t>サイクロプス</t>
  </si>
  <si>
    <t>ようじゅつし</t>
  </si>
  <si>
    <t>スクルト</t>
  </si>
  <si>
    <t>さまようたましい</t>
  </si>
  <si>
    <t>メトロゴースト</t>
  </si>
  <si>
    <t>ともしびこぞう</t>
  </si>
  <si>
    <t>ブラッドハンド</t>
  </si>
  <si>
    <t>ボーンナイト</t>
  </si>
  <si>
    <t>キラーアーマー</t>
  </si>
  <si>
    <t>ラリホーマ</t>
  </si>
  <si>
    <t>マリンスライム</t>
  </si>
  <si>
    <t>しびれスライム</t>
  </si>
  <si>
    <t>メタルライダー</t>
  </si>
  <si>
    <t>スライムベホマズン</t>
  </si>
  <si>
    <t>ベホマズン</t>
  </si>
  <si>
    <t>メタルブラザーズ</t>
  </si>
  <si>
    <t>メラミ</t>
  </si>
  <si>
    <t>ベビーニュート</t>
  </si>
  <si>
    <t>こおりの息</t>
  </si>
  <si>
    <t>火炎の息</t>
  </si>
  <si>
    <t>アルミラージ</t>
  </si>
  <si>
    <t>ダンスニードル</t>
  </si>
  <si>
    <t>ベロニャーゴ</t>
  </si>
  <si>
    <t>エビルアップル</t>
  </si>
  <si>
    <t>バギマ</t>
  </si>
  <si>
    <t>ブラックベジター</t>
  </si>
  <si>
    <t>イオラ</t>
  </si>
  <si>
    <t>メイジキメラ</t>
  </si>
  <si>
    <t>ジャガーメイジ</t>
  </si>
  <si>
    <t>ピンクモーモン</t>
  </si>
  <si>
    <t>どくやずきん</t>
  </si>
  <si>
    <t>オークキング</t>
  </si>
  <si>
    <t>ザオラル</t>
  </si>
  <si>
    <t>ケダモン</t>
  </si>
  <si>
    <t>C</t>
  </si>
  <si>
    <t>おどるほうせき</t>
  </si>
  <si>
    <t>ビッグフェイス</t>
  </si>
  <si>
    <t>ゴールドマン</t>
  </si>
  <si>
    <t>シャドー</t>
  </si>
  <si>
    <t>ヒャダルコ</t>
  </si>
  <si>
    <t>メガザルロック</t>
  </si>
  <si>
    <t>メガザル</t>
  </si>
  <si>
    <t>ミミック</t>
  </si>
  <si>
    <t>ザラキ</t>
  </si>
  <si>
    <t>ブチュチュンパ</t>
  </si>
  <si>
    <t>タホドラキー</t>
  </si>
  <si>
    <t>ルカナン</t>
  </si>
  <si>
    <t>タップデビル</t>
  </si>
  <si>
    <t>メダパニダンス</t>
  </si>
  <si>
    <t>スペクテット</t>
  </si>
  <si>
    <t>おたけび</t>
  </si>
  <si>
    <t>ホークマン</t>
  </si>
  <si>
    <t>きめんどうし</t>
  </si>
  <si>
    <t>トロル</t>
  </si>
  <si>
    <t>あくましんかん</t>
  </si>
  <si>
    <t>ギガンテス</t>
  </si>
  <si>
    <t>みなごろし</t>
  </si>
  <si>
    <t>シルバーデビル</t>
  </si>
  <si>
    <t>スモールグール</t>
  </si>
  <si>
    <t>ヘルゴースト</t>
  </si>
  <si>
    <t>ベギラマ</t>
  </si>
  <si>
    <t>マネマネ</t>
  </si>
  <si>
    <t>モシャス</t>
  </si>
  <si>
    <t>マージマタンゴ</t>
  </si>
  <si>
    <t>グール</t>
  </si>
  <si>
    <t>死神きぞく</t>
  </si>
  <si>
    <t>じごくのよろい</t>
  </si>
  <si>
    <t>ベスノザのつかい</t>
  </si>
  <si>
    <t>夢魔ベスノザ</t>
  </si>
  <si>
    <t>B</t>
  </si>
  <si>
    <t>キャプテンスライム</t>
  </si>
  <si>
    <t>ライムスライム</t>
  </si>
  <si>
    <t>レモンスライム</t>
  </si>
  <si>
    <t>プレミアムスライム</t>
  </si>
  <si>
    <t>個体別</t>
  </si>
  <si>
    <t>トンブレロ</t>
  </si>
  <si>
    <t>ホイミ</t>
    <phoneticPr fontId="3"/>
  </si>
  <si>
    <t>どくの息</t>
    <phoneticPr fontId="3"/>
  </si>
  <si>
    <t>ラリホー</t>
    <phoneticPr fontId="3"/>
  </si>
  <si>
    <t>おたけび</t>
    <phoneticPr fontId="3"/>
  </si>
  <si>
    <t>ボミエ</t>
    <phoneticPr fontId="3"/>
  </si>
  <si>
    <t>いなずま斬り</t>
    <phoneticPr fontId="3"/>
  </si>
  <si>
    <t>マヌーサ</t>
    <phoneticPr fontId="3"/>
  </si>
  <si>
    <t>あまい息</t>
    <phoneticPr fontId="3"/>
  </si>
  <si>
    <t>すなけむり</t>
    <phoneticPr fontId="3"/>
  </si>
  <si>
    <t>さそう踊り</t>
    <phoneticPr fontId="3"/>
  </si>
  <si>
    <t>スカラ</t>
    <phoneticPr fontId="3"/>
  </si>
  <si>
    <t>メラ</t>
    <phoneticPr fontId="3"/>
  </si>
  <si>
    <t>魔神斬り</t>
    <phoneticPr fontId="3"/>
  </si>
  <si>
    <t>ためる</t>
    <phoneticPr fontId="3"/>
  </si>
  <si>
    <t>ふしぎな踊り</t>
    <phoneticPr fontId="3"/>
  </si>
  <si>
    <t>メガンテ</t>
    <phoneticPr fontId="3"/>
  </si>
  <si>
    <t>ピオラ</t>
    <phoneticPr fontId="3"/>
  </si>
  <si>
    <t>なめまわし</t>
    <phoneticPr fontId="3"/>
  </si>
  <si>
    <t>ベホマラー</t>
    <phoneticPr fontId="3"/>
  </si>
  <si>
    <t>火の息</t>
    <phoneticPr fontId="3"/>
  </si>
  <si>
    <t>キアリー</t>
    <phoneticPr fontId="3"/>
  </si>
  <si>
    <t>モシャス</t>
    <phoneticPr fontId="3"/>
  </si>
  <si>
    <t>バイキルト</t>
    <phoneticPr fontId="3"/>
  </si>
  <si>
    <t>マホトーン</t>
    <phoneticPr fontId="3"/>
  </si>
  <si>
    <t>つめたい息</t>
    <phoneticPr fontId="3"/>
  </si>
  <si>
    <t>スクルト</t>
    <phoneticPr fontId="3"/>
  </si>
  <si>
    <t>インテ</t>
    <phoneticPr fontId="3"/>
  </si>
  <si>
    <t>ベホイミ</t>
    <phoneticPr fontId="3"/>
  </si>
  <si>
    <t xml:space="preserve"> ラリホーマ</t>
    <phoneticPr fontId="3"/>
  </si>
  <si>
    <t>しんくう斬り</t>
    <phoneticPr fontId="3"/>
  </si>
  <si>
    <t>メラミ</t>
    <phoneticPr fontId="3"/>
  </si>
  <si>
    <t>ザオラル</t>
    <phoneticPr fontId="3"/>
  </si>
  <si>
    <t>ザキ</t>
    <phoneticPr fontId="3"/>
  </si>
  <si>
    <t>メダパニ</t>
    <phoneticPr fontId="3"/>
  </si>
  <si>
    <t>？</t>
    <phoneticPr fontId="3"/>
  </si>
  <si>
    <t>みなごろし</t>
    <phoneticPr fontId="3"/>
  </si>
  <si>
    <t>ボミエアタック</t>
    <phoneticPr fontId="3"/>
  </si>
  <si>
    <t>ベギラマ</t>
    <phoneticPr fontId="3"/>
  </si>
  <si>
    <t>ギラ</t>
    <phoneticPr fontId="3"/>
  </si>
  <si>
    <t>ひょうけつ斬り</t>
    <phoneticPr fontId="3"/>
  </si>
  <si>
    <t>？</t>
    <phoneticPr fontId="3"/>
  </si>
  <si>
    <t>ヒャド</t>
    <phoneticPr fontId="3"/>
  </si>
  <si>
    <t>メラ</t>
    <phoneticPr fontId="3"/>
  </si>
  <si>
    <t>各個体の初期とくぎ</t>
    <phoneticPr fontId="3"/>
  </si>
  <si>
    <t>スカウト率</t>
    <rPh sb="4" eb="5">
      <t>リツ</t>
    </rPh>
    <phoneticPr fontId="3"/>
  </si>
  <si>
    <t>やせいのにく</t>
    <phoneticPr fontId="3"/>
  </si>
  <si>
    <t>ほねつきにく</t>
    <phoneticPr fontId="3"/>
  </si>
  <si>
    <t>しもふりにく</t>
    <phoneticPr fontId="3"/>
  </si>
  <si>
    <t>ステータスの伸び率と覚醒Lv　※暫定</t>
    <phoneticPr fontId="3"/>
  </si>
  <si>
    <t>タイプ</t>
    <phoneticPr fontId="3"/>
  </si>
  <si>
    <t>総重量</t>
    <rPh sb="0" eb="3">
      <t>ソウジュウリョウ</t>
    </rPh>
    <phoneticPr fontId="3"/>
  </si>
  <si>
    <t>ランク</t>
    <phoneticPr fontId="3"/>
  </si>
  <si>
    <t>タイプ</t>
    <phoneticPr fontId="3"/>
  </si>
  <si>
    <t>おもさ</t>
    <phoneticPr fontId="3"/>
  </si>
  <si>
    <t>とくぎ1</t>
    <phoneticPr fontId="3"/>
  </si>
  <si>
    <t>とくぎ2</t>
  </si>
  <si>
    <t>必要キャラバンレベル</t>
    <rPh sb="0" eb="2">
      <t>ヒツヨウ</t>
    </rPh>
    <phoneticPr fontId="3"/>
  </si>
  <si>
    <t>③15,33</t>
  </si>
  <si>
    <t>呪文攻撃・回復・補助</t>
  </si>
  <si>
    <t>いくじなし</t>
  </si>
  <si>
    <t>いっぴきおおかみ</t>
  </si>
  <si>
    <t>④16,35</t>
  </si>
  <si>
    <t>壁</t>
  </si>
  <si>
    <t>⑤17,38</t>
  </si>
  <si>
    <t>②14,30,48</t>
  </si>
  <si>
    <t>補助</t>
  </si>
  <si>
    <t>①13,28,44</t>
  </si>
  <si>
    <t>物理攻撃(遠)</t>
  </si>
  <si>
    <t>物理攻撃</t>
  </si>
  <si>
    <t>おっちょこちょい</t>
  </si>
  <si>
    <t>物理攻撃・壁</t>
  </si>
  <si>
    <t>息・補助</t>
  </si>
  <si>
    <t>万能</t>
  </si>
  <si>
    <t>壁・万能</t>
  </si>
  <si>
    <t>せいかく</t>
  </si>
  <si>
    <t>素早</t>
  </si>
  <si>
    <t>合計</t>
  </si>
  <si>
    <t>LV5以外の急成長</t>
  </si>
  <si>
    <t>向いている役割</t>
  </si>
  <si>
    <t>LV25時(性格：ふつう)</t>
    <rPh sb="4" eb="5">
      <t>ジ</t>
    </rPh>
    <rPh sb="6" eb="8">
      <t>セイカク</t>
    </rPh>
    <phoneticPr fontId="3"/>
  </si>
  <si>
    <t>　赤字：性格(ふつう)よりも上回っている</t>
    <rPh sb="1" eb="3">
      <t>アカジ</t>
    </rPh>
    <rPh sb="4" eb="6">
      <t>セイカク</t>
    </rPh>
    <rPh sb="14" eb="16">
      <t>ウワマワ</t>
    </rPh>
    <phoneticPr fontId="3"/>
  </si>
  <si>
    <t>　青字：性格(ふつう)よりも下回っている</t>
    <rPh sb="1" eb="3">
      <t>アオジ</t>
    </rPh>
    <rPh sb="14" eb="15">
      <t>シタ</t>
    </rPh>
    <phoneticPr fontId="3"/>
  </si>
  <si>
    <t>性格一覧</t>
    <phoneticPr fontId="3"/>
  </si>
  <si>
    <t>総重量に対し、必要キャラバンレベルを表示します</t>
    <rPh sb="0" eb="3">
      <t>ソウジュウリョウ</t>
    </rPh>
    <rPh sb="4" eb="5">
      <t>タイ</t>
    </rPh>
    <rPh sb="7" eb="9">
      <t>ヒツヨウ</t>
    </rPh>
    <rPh sb="18" eb="20">
      <t>ヒョウジ</t>
    </rPh>
    <phoneticPr fontId="3"/>
  </si>
  <si>
    <t>No</t>
    <phoneticPr fontId="3"/>
  </si>
  <si>
    <t>大陸名</t>
    <rPh sb="0" eb="2">
      <t>タイリク</t>
    </rPh>
    <rPh sb="2" eb="3">
      <t>メイ</t>
    </rPh>
    <phoneticPr fontId="3"/>
  </si>
  <si>
    <t>生息地</t>
    <rPh sb="0" eb="3">
      <t>セイソクチ</t>
    </rPh>
    <phoneticPr fontId="3"/>
  </si>
  <si>
    <t>緑の大陸</t>
    <phoneticPr fontId="3"/>
  </si>
  <si>
    <t>ロジナの村 周辺
リンジー村 周辺</t>
    <phoneticPr fontId="3"/>
  </si>
  <si>
    <t>耐性</t>
    <rPh sb="0" eb="2">
      <t>タイセイ</t>
    </rPh>
    <phoneticPr fontId="3"/>
  </si>
  <si>
    <t>無効</t>
    <rPh sb="0" eb="2">
      <t>ムコウ</t>
    </rPh>
    <phoneticPr fontId="3"/>
  </si>
  <si>
    <t>半減</t>
    <phoneticPr fontId="3"/>
  </si>
  <si>
    <t>軽減</t>
    <phoneticPr fontId="3"/>
  </si>
  <si>
    <t>弱い</t>
    <rPh sb="0" eb="1">
      <t>ヨワ</t>
    </rPh>
    <phoneticPr fontId="3"/>
  </si>
  <si>
    <t>イオ、ザキ、マヌーサ、ダウン</t>
    <phoneticPr fontId="3"/>
  </si>
  <si>
    <t>ギラ、マホトラ、マホトーン</t>
    <phoneticPr fontId="3"/>
  </si>
  <si>
    <t>ドルマ、ボミエ、混乱</t>
    <phoneticPr fontId="3"/>
  </si>
  <si>
    <t>デイン、マヌーサ、ダウン</t>
    <phoneticPr fontId="3"/>
  </si>
  <si>
    <t>-</t>
    <phoneticPr fontId="3"/>
  </si>
  <si>
    <t>森の広場 周辺
港町マルスカ 周辺
大灯台・西
砂漠の関所 周辺</t>
    <phoneticPr fontId="3"/>
  </si>
  <si>
    <t>緑の大陸
荒れ地の大陸</t>
    <phoneticPr fontId="3"/>
  </si>
  <si>
    <t>デイン、フール、ザキ、マヌーサ、ダウン</t>
    <phoneticPr fontId="3"/>
  </si>
  <si>
    <t>ギラ、マホトラ、マホトーン、マヒ</t>
    <phoneticPr fontId="3"/>
  </si>
  <si>
    <t>森の広場 周辺
港町マルスカ 周辺
セルツェの町 周辺
小鳥の泉 周辺
ダリニの村 周辺
サシェツの町 周辺</t>
    <phoneticPr fontId="3"/>
  </si>
  <si>
    <t>ルカニ</t>
    <phoneticPr fontId="3"/>
  </si>
  <si>
    <t>デイン、マヌーサ、マヒ、ダウン</t>
    <phoneticPr fontId="3"/>
  </si>
  <si>
    <t>ギンザザ港・東
大灯台・西</t>
    <phoneticPr fontId="3"/>
  </si>
  <si>
    <t>荒れ地の大陸</t>
    <phoneticPr fontId="3"/>
  </si>
  <si>
    <t>マヒ</t>
    <phoneticPr fontId="3"/>
  </si>
  <si>
    <t>ヒャド、ギラ、マホトラ、マホトーン</t>
    <phoneticPr fontId="3"/>
  </si>
  <si>
    <t>港町マルスカ 周辺
セルツェの町 周辺
サシェツ町 周辺
ダリニの村 周辺</t>
    <phoneticPr fontId="3"/>
  </si>
  <si>
    <t>ギラ、ザキ、マホトラ、マホトーン</t>
    <phoneticPr fontId="3"/>
  </si>
  <si>
    <t>ロジナの村 周辺
リンジー村 周辺
森の広場 周辺
セルツェの町 周辺</t>
    <phoneticPr fontId="3"/>
  </si>
  <si>
    <t>斬撃封じ</t>
    <phoneticPr fontId="3"/>
  </si>
  <si>
    <t>デイン マヌーサ マヒ ダウン</t>
    <phoneticPr fontId="3"/>
  </si>
  <si>
    <t>ギラ マホトラ マホトーン</t>
    <phoneticPr fontId="3"/>
  </si>
  <si>
    <t>ドルマ ボミエ 混乱</t>
    <phoneticPr fontId="3"/>
  </si>
  <si>
    <t>戦士の砦 周辺
サシェツの町 周辺
ダリニの村 周辺</t>
    <phoneticPr fontId="3"/>
  </si>
  <si>
    <t>イオ、フール、毒、マヒ</t>
    <phoneticPr fontId="3"/>
  </si>
  <si>
    <t>バギ、ヒャド、吹雪ブレス、踊り封じ、マホトラ</t>
    <phoneticPr fontId="3"/>
  </si>
  <si>
    <t>ギラ、ボミエ、眠り</t>
    <phoneticPr fontId="3"/>
  </si>
  <si>
    <t>戦士の砦 周辺
セルツェの町 周辺
港町マルスカ 周辺</t>
    <phoneticPr fontId="3"/>
  </si>
  <si>
    <t>イオ、フール、マインド、マヒ</t>
    <phoneticPr fontId="3"/>
  </si>
  <si>
    <t>バギ、踊り封じ、マホトラ、混乱</t>
    <phoneticPr fontId="3"/>
  </si>
  <si>
    <t>リンジー村 周辺
キンザザ港・東
荒野のバザー 周辺
砂漠の関所 周辺</t>
    <phoneticPr fontId="3"/>
  </si>
  <si>
    <t>イオ、ルカニ、フール、マホトラ、マヒ、ダウン</t>
    <phoneticPr fontId="3"/>
  </si>
  <si>
    <t>バギ、踊り封じ、ザキ</t>
    <phoneticPr fontId="3"/>
  </si>
  <si>
    <t>森の広場 周辺
セルツェの町 周辺
小鳥の泉 周辺
荒野のバザー 周辺
砂漠の関所 周辺</t>
    <phoneticPr fontId="3"/>
  </si>
  <si>
    <t>マホトラ</t>
    <phoneticPr fontId="3"/>
  </si>
  <si>
    <t>イオ、フール、マヒ</t>
    <phoneticPr fontId="3"/>
  </si>
  <si>
    <t>バギ、踊り封じ、毒</t>
    <phoneticPr fontId="3"/>
  </si>
  <si>
    <t>メラ、イオ、フール、マヌーサ、マヒ、ダウン</t>
    <phoneticPr fontId="3"/>
  </si>
  <si>
    <t>バギ、踊り封じ、マホトラ</t>
    <phoneticPr fontId="3"/>
  </si>
  <si>
    <t>ヒャド、デイン、ギラ、ボミエ、眠り</t>
    <phoneticPr fontId="3"/>
  </si>
  <si>
    <t>ダリニの村 周辺
サシェツの町 周辺</t>
    <phoneticPr fontId="3"/>
  </si>
  <si>
    <t>イオ　ヒャド　吹雪ブレス　踊り封じ　フール　マヒ</t>
    <phoneticPr fontId="3"/>
  </si>
  <si>
    <t>バギ　毒　マホトラ　マホトーン</t>
    <phoneticPr fontId="3"/>
  </si>
  <si>
    <t>メラ　ギラ　ボミエ　眠り</t>
    <phoneticPr fontId="3"/>
  </si>
  <si>
    <t>セルツェの町 周辺
港町マルスカ 周辺
ルツの村 周辺</t>
    <phoneticPr fontId="3"/>
  </si>
  <si>
    <t>メラ、ベタン、ボミエ、毒、マヒ</t>
    <phoneticPr fontId="3"/>
  </si>
  <si>
    <t>イオ、体技封じ、ハック</t>
    <phoneticPr fontId="3"/>
  </si>
  <si>
    <t>ヒャド、ギラ、息封じ、眠り、ダウン</t>
    <phoneticPr fontId="3"/>
  </si>
  <si>
    <t>ロジナの村 周辺
リンジー村 周辺
森の広場 周辺
港町マルスカ 周辺</t>
    <phoneticPr fontId="3"/>
  </si>
  <si>
    <t>メラ、体技封じ、ボミエ、ハック、マヒ</t>
    <phoneticPr fontId="3"/>
  </si>
  <si>
    <t>イオ、マインド</t>
    <phoneticPr fontId="3"/>
  </si>
  <si>
    <t>ヒャド、眠り、ダウン</t>
    <phoneticPr fontId="3"/>
  </si>
  <si>
    <t>森の広場 周辺
セルツェの町 周辺
戦士の砦 周辺</t>
    <phoneticPr fontId="3"/>
  </si>
  <si>
    <t>メラ、ボミエ、ハック、マホトーン、マヒ</t>
    <phoneticPr fontId="3"/>
  </si>
  <si>
    <t>イオ、体技封じ、ザキ</t>
    <phoneticPr fontId="3"/>
  </si>
  <si>
    <t>小鳥の泉 周辺
ルツの村・北</t>
    <phoneticPr fontId="3"/>
  </si>
  <si>
    <t>メラ、ボミエ、マヒ</t>
    <phoneticPr fontId="3"/>
  </si>
  <si>
    <t>メラ、踊り封じ、ボミエ、ザキ、マヒ</t>
    <phoneticPr fontId="3"/>
  </si>
  <si>
    <t>ヒャド、息封じ、眠り、ダウン</t>
    <phoneticPr fontId="3"/>
  </si>
  <si>
    <t>メラ、踊り封じ、ボミエ、マヌーサ、マヒ</t>
    <phoneticPr fontId="3"/>
  </si>
  <si>
    <t>メラ、ボミエ、マヌーサ、マヒ</t>
    <phoneticPr fontId="3"/>
  </si>
  <si>
    <t>セルツェの町 周辺
リンジー村 周辺
ロジナの村 周辺</t>
    <phoneticPr fontId="3"/>
  </si>
  <si>
    <t>マインド</t>
    <phoneticPr fontId="3"/>
  </si>
  <si>
    <t>ベタン、眠り、ダウン</t>
    <phoneticPr fontId="3"/>
  </si>
  <si>
    <t>デイン、フール、ザキ、毒</t>
    <phoneticPr fontId="3"/>
  </si>
  <si>
    <t>バギ、ルカニ、混乱</t>
    <phoneticPr fontId="3"/>
  </si>
  <si>
    <t>リンジー村 周辺
砂漠の関所・西</t>
    <phoneticPr fontId="3"/>
  </si>
  <si>
    <t>ベタン、ザキ</t>
    <phoneticPr fontId="3"/>
  </si>
  <si>
    <t>眠り、ダウン</t>
    <phoneticPr fontId="3"/>
  </si>
  <si>
    <t>イオ、ディン、フール、毒</t>
    <phoneticPr fontId="3"/>
  </si>
  <si>
    <t>サシェツの町 周辺</t>
    <phoneticPr fontId="3"/>
  </si>
  <si>
    <t>ヒャド、ボミエ、混乱</t>
    <phoneticPr fontId="3"/>
  </si>
  <si>
    <t>メラ、踊り封じ、マホトーン、マインド</t>
  </si>
  <si>
    <t>メラ、踊り封じ、マホトーン、マインド</t>
    <phoneticPr fontId="3"/>
  </si>
  <si>
    <t>デイン、フール、マヒ</t>
    <phoneticPr fontId="3"/>
  </si>
  <si>
    <t>リンジー村 周辺
森の広場 周辺</t>
    <phoneticPr fontId="3"/>
  </si>
  <si>
    <t>バギ、ヒャド、ボミエ、マホトラ、混乱</t>
    <phoneticPr fontId="3"/>
  </si>
  <si>
    <t>セルツェの町 周辺
港町 周辺</t>
    <phoneticPr fontId="3"/>
  </si>
  <si>
    <t>ハック</t>
    <phoneticPr fontId="3"/>
  </si>
  <si>
    <t>メラ、イオ、バギ、ヒャド、デイン、ドルマ、ギラ</t>
    <phoneticPr fontId="3"/>
  </si>
  <si>
    <t>踊り封じ、マホトーン、混乱、マインド</t>
    <phoneticPr fontId="3"/>
  </si>
  <si>
    <t>ベタン、炎ブレス、吹雪ブレス、体技封じ、斬撃封じ、息封じ、
ルカニ、ボミエ、フール、ハック、ザキ、マヌーサ、毒、マホトラ、
マヒ、眠り、ダウン</t>
    <phoneticPr fontId="3"/>
  </si>
  <si>
    <t>ヒャド、ボミエ、混乱、マインド</t>
    <phoneticPr fontId="3"/>
  </si>
  <si>
    <t>メラ、踊り封じ、ザキ、マヌーサ、マホトーン</t>
    <phoneticPr fontId="3"/>
  </si>
  <si>
    <t>ダリニの村 周辺
サシェツの町 周辺
セルツェの町 周辺
リンジー村 周辺</t>
    <phoneticPr fontId="3"/>
  </si>
  <si>
    <t>ヒャド、ボミエ、ハック、混乱</t>
    <phoneticPr fontId="3"/>
  </si>
  <si>
    <t>セルツェの町 周辺
リンジー村 周辺</t>
    <phoneticPr fontId="3"/>
  </si>
  <si>
    <t>ドルマ、ルカニ、混乱、マヒ</t>
    <phoneticPr fontId="3"/>
  </si>
  <si>
    <t>ベタン、息封じ、ハック</t>
    <phoneticPr fontId="3"/>
  </si>
  <si>
    <t>イオ、バギ、ヒャド、デイン、吹雪ブレス、踊り封じ、フール、マヌーサ、マホトーン</t>
    <phoneticPr fontId="3"/>
  </si>
  <si>
    <t>リンジー村 周辺
港町マルスカ 周辺
森の広場 周辺</t>
    <phoneticPr fontId="3"/>
  </si>
  <si>
    <t>毒</t>
    <phoneticPr fontId="3"/>
  </si>
  <si>
    <t>バギ、ドルマ、ルカニ、混乱</t>
    <phoneticPr fontId="3"/>
  </si>
  <si>
    <t>メラ、フール、マヌーサ</t>
    <phoneticPr fontId="3"/>
  </si>
  <si>
    <t>セルツェの町 周辺
戦士の砦 周辺</t>
    <phoneticPr fontId="3"/>
  </si>
  <si>
    <t>ドルマ、ベタン、ルカニ、混乱、マインド</t>
    <phoneticPr fontId="3"/>
  </si>
  <si>
    <t>息封じ、ハック</t>
    <phoneticPr fontId="3"/>
  </si>
  <si>
    <t>サシェツの町 周辺
ダリニの村 周辺
リンジー村 周辺</t>
    <phoneticPr fontId="3"/>
  </si>
  <si>
    <t>メラ、ルカニ、ザキ、混乱、ダウン</t>
    <phoneticPr fontId="3"/>
  </si>
  <si>
    <t>ベタン、息封じ、踊り封じ、ハック、マホトーン</t>
    <phoneticPr fontId="3"/>
  </si>
  <si>
    <t xml:space="preserve"> ドルマ、フール、マヌーサ</t>
    <phoneticPr fontId="3"/>
  </si>
  <si>
    <t>ドルマ、ルカニ、混乱</t>
    <phoneticPr fontId="3"/>
  </si>
  <si>
    <t>ヒャド、ベタン、息封じ、ハック</t>
    <phoneticPr fontId="3"/>
  </si>
  <si>
    <t>ヒャド、ドルマ、ルカニ、ザキ、混乱</t>
    <phoneticPr fontId="3"/>
  </si>
  <si>
    <t>ベタン、斬撃封じ、息封じ、ハック</t>
    <phoneticPr fontId="3"/>
  </si>
  <si>
    <t>メラ、フール、マヌーサ</t>
    <phoneticPr fontId="3"/>
  </si>
  <si>
    <t>毒</t>
    <phoneticPr fontId="3"/>
  </si>
  <si>
    <t>バギ、ドルマ、ルカニ、混乱</t>
    <phoneticPr fontId="3"/>
  </si>
  <si>
    <t>ベタン、息封じ、ハック</t>
    <phoneticPr fontId="3"/>
  </si>
  <si>
    <t>森の広場 周辺</t>
    <rPh sb="5" eb="7">
      <t>シュウヘン</t>
    </rPh>
    <phoneticPr fontId="3"/>
  </si>
  <si>
    <t>森の広場 周辺
カツェの村 周辺</t>
    <phoneticPr fontId="3"/>
  </si>
  <si>
    <t>マヒ</t>
    <phoneticPr fontId="3"/>
  </si>
  <si>
    <t>デイン、マヌーサ、ダウン</t>
    <phoneticPr fontId="3"/>
  </si>
  <si>
    <t>ギラ、マホトラ、マホトーン</t>
    <phoneticPr fontId="3"/>
  </si>
  <si>
    <t>ドルマ、ボミエ</t>
    <phoneticPr fontId="3"/>
  </si>
  <si>
    <t>荒れ地の大陸</t>
    <phoneticPr fontId="3"/>
  </si>
  <si>
    <t>砂漠の関所・西 周辺
ルツの村 周辺</t>
    <phoneticPr fontId="3"/>
  </si>
  <si>
    <t>デイン、マヌーサ、マホトーン、ダウン</t>
    <phoneticPr fontId="3"/>
  </si>
  <si>
    <t>ギラ、フール、ザキ、マホトラ、マヒ</t>
    <phoneticPr fontId="3"/>
  </si>
  <si>
    <t>ドルマ、ボミエ、混乱</t>
    <phoneticPr fontId="3"/>
  </si>
  <si>
    <t>荒野のバザー 周辺
ゴダの町 周辺
ホトルの村 周辺</t>
    <phoneticPr fontId="3"/>
  </si>
  <si>
    <t>-</t>
    <phoneticPr fontId="3"/>
  </si>
  <si>
    <t>ザキ、マヒ</t>
    <phoneticPr fontId="3"/>
  </si>
  <si>
    <t>イオ、デイン、マヌーサ、ダウン</t>
    <phoneticPr fontId="3"/>
  </si>
  <si>
    <t>ドルマ、踊り封じ、ボミエ、混乱</t>
    <phoneticPr fontId="3"/>
  </si>
  <si>
    <t>カツェの村 周辺
ザザ城下町 周辺</t>
    <phoneticPr fontId="3"/>
  </si>
  <si>
    <t>メラ、イオ、バギ、ヒャド、デイン、ドルマ、ギラ、ベタン、炎ブレス、吹雪ブレス、体技封じ、斬撃封じ、息封じ、踊り封じ、ハック、ザキ、毒、混乱、マヒ、眠り</t>
    <phoneticPr fontId="3"/>
  </si>
  <si>
    <t>ダウン</t>
    <phoneticPr fontId="3"/>
  </si>
  <si>
    <t>ルカニ、ボミエ、フール、マホトラ、マインド</t>
    <phoneticPr fontId="3"/>
  </si>
  <si>
    <t>ロンドーの家
キンザザ港
荒野のバザー
砂漠の関所・西
ルツの村、カツェの村　
ソーン港
ほかいろいろ</t>
    <phoneticPr fontId="3"/>
  </si>
  <si>
    <t>炎ブレス</t>
    <phoneticPr fontId="3"/>
  </si>
  <si>
    <t>ギラ、フール、マヌーサ、眠り</t>
    <phoneticPr fontId="3"/>
  </si>
  <si>
    <t>ドルマ、斬撃封じ、息封じ、毒</t>
    <phoneticPr fontId="3"/>
  </si>
  <si>
    <t>ベタン、ルカニ、マヒ</t>
    <phoneticPr fontId="3"/>
  </si>
  <si>
    <t>ルツの村 周辺
ザザ城下町 周辺
ルツの村・北 周辺</t>
    <phoneticPr fontId="3"/>
  </si>
  <si>
    <t>ベタン</t>
    <phoneticPr fontId="3"/>
  </si>
  <si>
    <t>イオ、フール、マホトラ、マヒ</t>
    <phoneticPr fontId="3"/>
  </si>
  <si>
    <t>バギ、踊り封じ、ザキ</t>
    <phoneticPr fontId="3"/>
  </si>
  <si>
    <t>ギラ、ボミエ、眠り</t>
    <phoneticPr fontId="3"/>
  </si>
  <si>
    <t>砂漠の関所・西 周辺
ザザ城下町 周辺
ルツの村 周辺
ルツの村・北 周辺</t>
    <phoneticPr fontId="3"/>
  </si>
  <si>
    <t>イオ、デイン、ルカニ、フール、マヒ、ダウン</t>
    <phoneticPr fontId="3"/>
  </si>
  <si>
    <t>バギ、踊り封じ、ザキ、マホトラ</t>
    <phoneticPr fontId="3"/>
  </si>
  <si>
    <t>ギラ、ベタン、ボミエ、眠り</t>
    <phoneticPr fontId="3"/>
  </si>
  <si>
    <t>砂漠の関所・東 周辺
ゴダの町 周辺</t>
    <phoneticPr fontId="3"/>
  </si>
  <si>
    <t>混乱</t>
    <phoneticPr fontId="3"/>
  </si>
  <si>
    <t>イオ、フール、マヒ</t>
    <phoneticPr fontId="3"/>
  </si>
  <si>
    <t>バギ、踊り封じ、ザキ、マホトラ、マヒ</t>
    <phoneticPr fontId="3"/>
  </si>
  <si>
    <t>ゴダの町 周辺</t>
    <phoneticPr fontId="3"/>
  </si>
  <si>
    <t>メラ、ヒャド、ボミエ、ハック、マホトーン、マヒ</t>
    <phoneticPr fontId="3"/>
  </si>
  <si>
    <t>イオ、体技封じ</t>
    <phoneticPr fontId="3"/>
  </si>
  <si>
    <t>ドルマ、ベタン、眠り、ダウン</t>
    <phoneticPr fontId="3"/>
  </si>
  <si>
    <t>メラ</t>
    <phoneticPr fontId="3"/>
  </si>
  <si>
    <t>体技封じ、ボミエ、ハック、マインド、マヒ</t>
    <phoneticPr fontId="3"/>
  </si>
  <si>
    <t>イオ</t>
    <phoneticPr fontId="3"/>
  </si>
  <si>
    <t>ヒャド、デイン、マヌーサ、眠り、ダウン</t>
    <phoneticPr fontId="3"/>
  </si>
  <si>
    <t>メラ、ギラ、ボミエ、ハック、マホトラ、マヒ</t>
    <phoneticPr fontId="3"/>
  </si>
  <si>
    <t>イオ、体技封じ、毒</t>
    <phoneticPr fontId="3"/>
  </si>
  <si>
    <t>ヒャド、混乱、眠り、ダウン</t>
    <phoneticPr fontId="3"/>
  </si>
  <si>
    <t>カツェの村 周辺
ザザ城下町 周辺
ホトルの村 周辺</t>
    <phoneticPr fontId="3"/>
  </si>
  <si>
    <t>ハック</t>
    <phoneticPr fontId="3"/>
  </si>
  <si>
    <t>メラ、イオ、ボミエ、ザキ、マヒ</t>
    <phoneticPr fontId="3"/>
  </si>
  <si>
    <t>体技封じ</t>
    <phoneticPr fontId="3"/>
  </si>
  <si>
    <t>ヒャド、吹雪ブレス、マホトラ、眠り、ダウン</t>
    <phoneticPr fontId="3"/>
  </si>
  <si>
    <t>エツィロプの洞くつ</t>
    <phoneticPr fontId="3"/>
  </si>
  <si>
    <t>斬撃封じ</t>
    <phoneticPr fontId="3"/>
  </si>
  <si>
    <t>メラ、ボミエ、毒、マヒ</t>
    <phoneticPr fontId="3"/>
  </si>
  <si>
    <t>イオ、体技封じ、ハック</t>
    <phoneticPr fontId="3"/>
  </si>
  <si>
    <t>ヒャド、眠り、ダウン</t>
    <phoneticPr fontId="3"/>
  </si>
  <si>
    <t>メラ、イオ、ギラ、ボミエ、ザキ、マホトラ、マホトーン、マヒ</t>
    <phoneticPr fontId="3"/>
  </si>
  <si>
    <t>バギ、ヒャド、ベタン、マヌーサ、眠り、ダウン</t>
    <phoneticPr fontId="3"/>
  </si>
  <si>
    <t>ホトルの村 周辺
いこいの宿 周辺
石積み小屋 周辺</t>
    <phoneticPr fontId="3"/>
  </si>
  <si>
    <t>メラ、体技封じ、ボミエ、ハック、マヌーサ、マヒ</t>
    <phoneticPr fontId="3"/>
  </si>
  <si>
    <t>イオ、炎ブレス、踊り封じ</t>
    <phoneticPr fontId="3"/>
  </si>
  <si>
    <t>バギ、ヒャド、毒、眠り、ダウン</t>
    <phoneticPr fontId="3"/>
  </si>
  <si>
    <t>キンザザ港・東 周辺
砂漠の関所 周辺</t>
    <phoneticPr fontId="3"/>
  </si>
  <si>
    <t>デイン、ベタン、眠り、ダウン</t>
    <phoneticPr fontId="3"/>
  </si>
  <si>
    <t>ドルマ、フール、ザキ、毒、マインド</t>
    <phoneticPr fontId="3"/>
  </si>
  <si>
    <t>バギ、ルカニ、混乱</t>
    <phoneticPr fontId="3"/>
  </si>
  <si>
    <t>荒野のバザー 周辺
大灯台・西 周辺
砂漠の関所 周辺</t>
    <phoneticPr fontId="3"/>
  </si>
  <si>
    <t>メラ、イオ、バギ、ヒャド、デイン、ドルマ、ギラ</t>
    <phoneticPr fontId="3"/>
  </si>
  <si>
    <t>踊り封じ、マホトーン、混乱、マインド</t>
    <phoneticPr fontId="3"/>
  </si>
  <si>
    <t xml:space="preserve">ベタン、ルカニ、ボミエ、フール、ハック、ザキ、マヌーサ、マホトラ
炎ブレス、吹雪ブレス、体技封じ、斬撃封じ、息封じ
毒、マヒ、眠り、ダウン
</t>
    <phoneticPr fontId="3"/>
  </si>
  <si>
    <t>ドルマ</t>
    <phoneticPr fontId="3"/>
  </si>
  <si>
    <t>ベタン、眠り、ダウン</t>
    <phoneticPr fontId="3"/>
  </si>
  <si>
    <t>フール、ハック、ザキ、マヌーサ、毒</t>
    <phoneticPr fontId="3"/>
  </si>
  <si>
    <t>バギ、息封じ、踊り封じ、ルカニ、マホトーン</t>
    <phoneticPr fontId="3"/>
  </si>
  <si>
    <t>ルツの村・北 周辺
カツェの村 周辺</t>
    <phoneticPr fontId="3"/>
  </si>
  <si>
    <t>イオ、ザキ、眠り、ダウン</t>
    <phoneticPr fontId="3"/>
  </si>
  <si>
    <t>デイン、フール、毒</t>
    <phoneticPr fontId="3"/>
  </si>
  <si>
    <t>カツェの村 周辺
荒野のバザー 周辺</t>
    <phoneticPr fontId="3"/>
  </si>
  <si>
    <t>ベタン、マヌーサ、マホトラ、眠り、ダウン</t>
    <phoneticPr fontId="3"/>
  </si>
  <si>
    <t>デイン、フール</t>
    <phoneticPr fontId="3"/>
  </si>
  <si>
    <t>バギ、ルカニ、ハック、混乱</t>
    <phoneticPr fontId="3"/>
  </si>
  <si>
    <t>緑の大陸
荒れ地の大陸
中央の大陸</t>
    <phoneticPr fontId="3"/>
  </si>
  <si>
    <t>荒れ地の大陸
中央の大陸</t>
    <phoneticPr fontId="3"/>
  </si>
  <si>
    <t>パレード中の宝箱</t>
    <rPh sb="4" eb="5">
      <t>チュウ</t>
    </rPh>
    <rPh sb="6" eb="8">
      <t>タカラバコ</t>
    </rPh>
    <phoneticPr fontId="3"/>
  </si>
  <si>
    <t>ヒャド､ベタン､斬撃封じ､ハック､マホトラ､眠り､ダウン</t>
    <phoneticPr fontId="3"/>
  </si>
  <si>
    <t>デイン､フール､ザキ</t>
    <phoneticPr fontId="3"/>
  </si>
  <si>
    <t>バギ､ルカニ､ボミエ､マホトーン､混乱､マヒ</t>
    <phoneticPr fontId="3"/>
  </si>
  <si>
    <t>いろいろ</t>
    <phoneticPr fontId="3"/>
  </si>
  <si>
    <t>ベタン、マインド、眠り、ダウン</t>
    <phoneticPr fontId="3"/>
  </si>
  <si>
    <t>イオ、デイン、フール、ザキ</t>
    <phoneticPr fontId="3"/>
  </si>
  <si>
    <t>バギ、ルカニ、マヌーサ、混乱</t>
    <phoneticPr fontId="3"/>
  </si>
  <si>
    <t>ゴダの町 周辺
ベスノザの大穴</t>
    <phoneticPr fontId="3"/>
  </si>
  <si>
    <t>マホトラ</t>
    <phoneticPr fontId="3"/>
  </si>
  <si>
    <t>ヒャド、ベタン、ボミエ、混乱</t>
    <phoneticPr fontId="3"/>
  </si>
  <si>
    <t>メラ、踊り封じ、マホトーン、マインド</t>
    <phoneticPr fontId="3"/>
  </si>
  <si>
    <t>デイン、フール、マヒ</t>
    <phoneticPr fontId="3"/>
  </si>
  <si>
    <t>キンザザ港・東 周辺
荒野のバザー 周辺</t>
    <phoneticPr fontId="3"/>
  </si>
  <si>
    <t>メラ、イオ、踊り封じ、マホトーン、マインド</t>
    <phoneticPr fontId="3"/>
  </si>
  <si>
    <t>荒野のバザー 周辺
ホトルの村 周辺
ソーン港 周辺
ネフスカの町 周辺
ジュレイ大橋 周辺</t>
    <phoneticPr fontId="3"/>
  </si>
  <si>
    <t>混乱、マインド</t>
    <phoneticPr fontId="3"/>
  </si>
  <si>
    <t>ヒャド、ボミエ、マホトーン</t>
    <phoneticPr fontId="3"/>
  </si>
  <si>
    <t>メラ、息封じ、踊り封じ、毒</t>
    <phoneticPr fontId="3"/>
  </si>
  <si>
    <t>デイン、フール、マホトラ、マヒ</t>
    <phoneticPr fontId="3"/>
  </si>
  <si>
    <t>ルツの村・北 周辺
カツェの村 周辺
エツィロプの洞くつ</t>
    <phoneticPr fontId="3"/>
  </si>
  <si>
    <t>踊り封じ、ボミエ、マホトラ、マホトーン、混乱</t>
    <phoneticPr fontId="3"/>
  </si>
  <si>
    <t>メラ、ヒャド、ドルマ、マインド</t>
    <phoneticPr fontId="3"/>
  </si>
  <si>
    <t>荒野のバザー 周辺
ホトルの村 周辺
いこいの宿 周辺</t>
    <phoneticPr fontId="3"/>
  </si>
  <si>
    <t>ルツの村 周辺
ザザ城下町 周辺
ホトルの村 周辺</t>
    <phoneticPr fontId="3"/>
  </si>
  <si>
    <t>メラ、バギ、ヒャド、ボミエ、混乱</t>
    <phoneticPr fontId="3"/>
  </si>
  <si>
    <t>踊り封じ、マホトーン、マインド</t>
    <phoneticPr fontId="3"/>
  </si>
  <si>
    <t>デイン、ベタン、フール、マヒ</t>
    <phoneticPr fontId="3"/>
  </si>
  <si>
    <t>ボミエ、ハック、混乱</t>
    <phoneticPr fontId="3"/>
  </si>
  <si>
    <t>メラ、イオ、ヒャド、踊り封じ、マホトーン、マインド</t>
    <phoneticPr fontId="3"/>
  </si>
  <si>
    <t>ヒャド、踊り封じ、ボミエ、マホトーン、混乱</t>
    <phoneticPr fontId="3"/>
  </si>
  <si>
    <t>メラ、マインド</t>
    <phoneticPr fontId="3"/>
  </si>
  <si>
    <t>ザザ城下町 周辺
ルツの村 周辺</t>
    <phoneticPr fontId="3"/>
  </si>
  <si>
    <t>ヒャド、ドルマ、ボミエ、ザキ、混乱</t>
    <phoneticPr fontId="3"/>
  </si>
  <si>
    <t>メラ、踊り封じ、マホトラ、マホトーン、マインド</t>
    <phoneticPr fontId="3"/>
  </si>
  <si>
    <t>ホトルの村 周辺
砂漠の関所・東 周辺
ゴダの町南（西） 周辺
ジュレイ大橋 周辺
黄昏の灯台・西 周辺</t>
    <phoneticPr fontId="3"/>
  </si>
  <si>
    <t>ヒャド、ドルマ、ボミエ、混乱、マインド</t>
    <phoneticPr fontId="3"/>
  </si>
  <si>
    <t>メラ、踊り封じ、マホトーン</t>
    <phoneticPr fontId="3"/>
  </si>
  <si>
    <t>イオ、デイン、フール、マホトラ、マヒ</t>
    <phoneticPr fontId="3"/>
  </si>
  <si>
    <t>砂漠の関所・東 周辺
ゴダの町・北 周辺</t>
    <phoneticPr fontId="3"/>
  </si>
  <si>
    <t>ベタン</t>
    <phoneticPr fontId="3"/>
  </si>
  <si>
    <t>踊り封じ　ドルマ　ルカニ　ザキ　混乱</t>
    <phoneticPr fontId="3"/>
  </si>
  <si>
    <t>デイン　息封じ　ハック</t>
    <phoneticPr fontId="3"/>
  </si>
  <si>
    <t>メラ　体技封じ　フール　マヌーサ</t>
    <phoneticPr fontId="3"/>
  </si>
  <si>
    <t>ホトルの村 周辺</t>
    <phoneticPr fontId="3"/>
  </si>
  <si>
    <t>息封じ</t>
    <phoneticPr fontId="3"/>
  </si>
  <si>
    <t>ヒャド、ドルマ、吹雪ブレス、ルカニ、毒、混乱</t>
    <phoneticPr fontId="3"/>
  </si>
  <si>
    <t>ベタン、ハック、ザキ</t>
    <phoneticPr fontId="3"/>
  </si>
  <si>
    <t>メラ、デイン、炎ブレス、体技封じ、フール、マヌーサ、マホトーン</t>
    <phoneticPr fontId="3"/>
  </si>
  <si>
    <t>大灯台・西 周辺
砂漠の関所 周辺
砂漠の関所・西 周辺</t>
    <phoneticPr fontId="3"/>
  </si>
  <si>
    <t>ドルマ、ザキ</t>
    <phoneticPr fontId="3"/>
  </si>
  <si>
    <t>バギ、ベタン、ルカニ、ハック、混乱</t>
    <phoneticPr fontId="3"/>
  </si>
  <si>
    <t>メラ、ギラ、フール、マヌーサ、マインド</t>
    <phoneticPr fontId="3"/>
  </si>
  <si>
    <t>メラ、ベタン、ルカニ、ザキ、眠り</t>
    <phoneticPr fontId="3"/>
  </si>
  <si>
    <t>息封じ、マインド、ダウン</t>
    <phoneticPr fontId="3"/>
  </si>
  <si>
    <t>バギ、ドルマ、フール、マヌーサ、マホトラ</t>
    <phoneticPr fontId="3"/>
  </si>
  <si>
    <t>ドルマ、踊り封じ、ルカニ、ハック、ザキ、混乱</t>
    <phoneticPr fontId="3"/>
  </si>
  <si>
    <t>メラ、体技封じ、フール、マヌーサ、マインド</t>
    <phoneticPr fontId="3"/>
  </si>
  <si>
    <t>ベタン、ハック、ザキ、マインド、眠り</t>
    <phoneticPr fontId="3"/>
  </si>
  <si>
    <t>メラ、デイン、フール、マヌーサ</t>
    <phoneticPr fontId="3"/>
  </si>
  <si>
    <t>ドルマ、毒、マインド</t>
    <phoneticPr fontId="3"/>
  </si>
  <si>
    <t>斬撃封じ、ルカニ</t>
    <phoneticPr fontId="3"/>
  </si>
  <si>
    <t>ベタン、息封じ、ハック、ザキ、混乱</t>
    <phoneticPr fontId="3"/>
  </si>
  <si>
    <t>メラ、体技封じ、フール、マヌーサ、マヒ</t>
    <phoneticPr fontId="3"/>
  </si>
  <si>
    <t>カツェの村 周辺
ザザ城下町 周辺
旅の扉南西の道（王家の庭園） 周辺</t>
    <phoneticPr fontId="3"/>
  </si>
  <si>
    <t>ヒャド、デイン、マヌーサ、ダウン</t>
    <phoneticPr fontId="3"/>
  </si>
  <si>
    <t>メラ、ドルマ、ボミエ、混乱</t>
    <phoneticPr fontId="3"/>
  </si>
  <si>
    <t>荒れ地の大陸
中央の大陸</t>
    <phoneticPr fontId="3"/>
  </si>
  <si>
    <t>中央の大陸</t>
    <phoneticPr fontId="3"/>
  </si>
  <si>
    <t>ソーン港 周辺</t>
    <phoneticPr fontId="3"/>
  </si>
  <si>
    <t>デイン、マヌーサ、マホトーン、マヒ、ダウン</t>
    <phoneticPr fontId="3"/>
  </si>
  <si>
    <t>ギラ、マホトラ</t>
    <phoneticPr fontId="3"/>
  </si>
  <si>
    <t xml:space="preserve"> ドルマ、ボミエ、混乱、眠り</t>
    <phoneticPr fontId="3"/>
  </si>
  <si>
    <t>斬撃封じ、マヒ</t>
    <phoneticPr fontId="3"/>
  </si>
  <si>
    <t>イオ、デイン、マヌーサ、ダウン</t>
    <phoneticPr fontId="3"/>
  </si>
  <si>
    <t>ドルマ、ベタン、ルカニ、ボミエ、混乱、眠り</t>
    <phoneticPr fontId="3"/>
  </si>
  <si>
    <t>ジュレイ大橋 周辺
暁の灯台・東 周辺</t>
    <phoneticPr fontId="3"/>
  </si>
  <si>
    <t>ネフスカの町 周辺
ソーン港 周辺
キルジャ村 周辺</t>
    <phoneticPr fontId="3"/>
  </si>
  <si>
    <t>ザキ、マホトーン</t>
    <phoneticPr fontId="3"/>
  </si>
  <si>
    <t>ギラ、マホトラ、マヒ</t>
    <phoneticPr fontId="3"/>
  </si>
  <si>
    <t>ドルマ、体技封じ、斬撃封じ、ボミエ、混乱、眠り</t>
    <phoneticPr fontId="3"/>
  </si>
  <si>
    <t>セロー村</t>
    <phoneticPr fontId="3"/>
  </si>
  <si>
    <t>メラ、イオ、バギ、ヒャド、デイン、ドルマ、ギラ、ベタン、炎ブレス、吹雪ブレス、体技封じ、斬撃封じ、息封じ、ハック、ザキ、毒、混乱、マヒ、眠り、踊り封じ</t>
    <phoneticPr fontId="3"/>
  </si>
  <si>
    <t>ダウン</t>
    <phoneticPr fontId="3"/>
  </si>
  <si>
    <t>ルカニ、ボミエ、フール、マホトラ、マインド</t>
    <phoneticPr fontId="3"/>
  </si>
  <si>
    <t>黄昏の灯台・西 周辺
ベスノザの大穴</t>
    <phoneticPr fontId="3"/>
  </si>
  <si>
    <t>メラ、ギラ、炎ブレス、フール、マヌーサ</t>
    <phoneticPr fontId="3"/>
  </si>
  <si>
    <t>ドルマ、斬撃封じ、息封じ、毒、眠り</t>
    <phoneticPr fontId="3"/>
  </si>
  <si>
    <t>ベタン、ルカニ、マヒ</t>
    <phoneticPr fontId="3"/>
  </si>
  <si>
    <t>ベスノザの大穴</t>
    <phoneticPr fontId="3"/>
  </si>
  <si>
    <t>ギラ、炎ブレス、吹雪ブレス、踊り封じ、フール、ザキ、マヌーサ</t>
    <phoneticPr fontId="3"/>
  </si>
  <si>
    <t>ドルマ、斬撃封じ、息封じ、毒</t>
    <phoneticPr fontId="3"/>
  </si>
  <si>
    <t>ニエバの森 周辺
ベスノザの大穴</t>
    <phoneticPr fontId="3"/>
  </si>
  <si>
    <t>イオ、フール、マホトラ、マヒ</t>
    <phoneticPr fontId="3"/>
  </si>
  <si>
    <t>キルジャ村 周辺
セロー村 周辺</t>
    <phoneticPr fontId="3"/>
  </si>
  <si>
    <t>イオ、バギ、ベタン、フール、マヒ</t>
    <phoneticPr fontId="3"/>
  </si>
  <si>
    <t>メラ、踊り封じ、マホトラ</t>
    <phoneticPr fontId="3"/>
  </si>
  <si>
    <t xml:space="preserve"> ギラ、ボミエ、眠り</t>
    <phoneticPr fontId="3"/>
  </si>
  <si>
    <t>暁の灯台・東 周辺
黄昏の灯台・西  周辺</t>
    <phoneticPr fontId="3"/>
  </si>
  <si>
    <t>イオ、踊り封じ、フール、毒、マホトラ、マヒ</t>
    <phoneticPr fontId="3"/>
  </si>
  <si>
    <t>メラ、バギ、炎ブレス、マホトーン</t>
    <phoneticPr fontId="3"/>
  </si>
  <si>
    <t>ギラ、ボミエ、マインド、眠り</t>
    <phoneticPr fontId="3"/>
  </si>
  <si>
    <t>ニエバの森 周辺</t>
    <phoneticPr fontId="3"/>
  </si>
  <si>
    <t>イオ、踊り封じ、フール、マヒ</t>
    <phoneticPr fontId="3"/>
  </si>
  <si>
    <t>バギ、マホトラ、マインド</t>
    <phoneticPr fontId="3"/>
  </si>
  <si>
    <t>セロー村 周辺
ニエバの森 周辺</t>
    <phoneticPr fontId="3"/>
  </si>
  <si>
    <t>イオ、ドルマ、踊り封じ、ルカニ、フール、ザキ、マホトラ、ダウン</t>
    <phoneticPr fontId="3"/>
  </si>
  <si>
    <t xml:space="preserve"> デイン、ギラ、ボミエ、マインド、眠り</t>
    <phoneticPr fontId="3"/>
  </si>
  <si>
    <t>イオ、踊り封じ、フール、マホトーン、混乱、マヒ</t>
    <phoneticPr fontId="3"/>
  </si>
  <si>
    <t>バギ、マホトラ</t>
    <phoneticPr fontId="3"/>
  </si>
  <si>
    <t>高原の教会付近・山間の小屋 周辺</t>
    <rPh sb="14" eb="16">
      <t>シュウヘン</t>
    </rPh>
    <phoneticPr fontId="3"/>
  </si>
  <si>
    <t>メラ、ギラ、ボミエ、ハック、マホトーン</t>
    <phoneticPr fontId="3"/>
  </si>
  <si>
    <t>イオ、体技封じ、ザキ、マホトラ</t>
    <phoneticPr fontId="3"/>
  </si>
  <si>
    <t>バギ、ヒャド、マヌーサ、眠り、ダウン</t>
    <phoneticPr fontId="3"/>
  </si>
  <si>
    <t>ネフスカの町 周辺
ジュレイ大橋 周辺
ソーン港 周辺</t>
    <phoneticPr fontId="3"/>
  </si>
  <si>
    <t>メラ、ボミエ、マホトラ、マヒ</t>
    <phoneticPr fontId="3"/>
  </si>
  <si>
    <t>イオ、体技封じ</t>
    <phoneticPr fontId="3"/>
  </si>
  <si>
    <t>ヒャド、息封じ、混乱、眠り、ダウン</t>
    <phoneticPr fontId="3"/>
  </si>
  <si>
    <t>メラ、ギラ、体技封じ、ボミエ、ハック、毒</t>
    <phoneticPr fontId="3"/>
  </si>
  <si>
    <t>イオ、ザキ</t>
    <phoneticPr fontId="3"/>
  </si>
  <si>
    <t>ヒャド、デイン、マヌーサ、眠り、ダウン</t>
    <phoneticPr fontId="3"/>
  </si>
  <si>
    <t>セロー村 周辺
ニエバの森 周辺
ジュレイ大橋 周辺</t>
    <phoneticPr fontId="3"/>
  </si>
  <si>
    <t>メラ、ベタン、体技封じ、斬撃封じ、ボミエ、マヒ</t>
    <phoneticPr fontId="3"/>
  </si>
  <si>
    <t>イオ、ハック</t>
    <phoneticPr fontId="3"/>
  </si>
  <si>
    <t>ヒャド、ドルマ、眠り、ダウン</t>
    <phoneticPr fontId="3"/>
  </si>
  <si>
    <t>キルジャ村</t>
    <phoneticPr fontId="3"/>
  </si>
  <si>
    <t>メラ、イオ、ボミエ、ハック、マヌーサ</t>
    <phoneticPr fontId="3"/>
  </si>
  <si>
    <t>炎ブレス、吹雪ブレス、体技封じ、ザキ</t>
    <phoneticPr fontId="3"/>
  </si>
  <si>
    <t>バギ、ヒャド、毒、眠り、ダウン</t>
    <phoneticPr fontId="3"/>
  </si>
  <si>
    <t>ギラ、ベタン、マホトーン、眠り、ダウン</t>
    <phoneticPr fontId="3"/>
  </si>
  <si>
    <t>デイン、フール、毒</t>
    <phoneticPr fontId="3"/>
  </si>
  <si>
    <t>キルジャ村 周辺
ニエバの森 周辺</t>
    <phoneticPr fontId="3"/>
  </si>
  <si>
    <t>強敵出現</t>
    <rPh sb="0" eb="2">
      <t>キョウテキ</t>
    </rPh>
    <rPh sb="2" eb="4">
      <t>シュツゲン</t>
    </rPh>
    <phoneticPr fontId="3"/>
  </si>
  <si>
    <t>ハック、マヌーサ、眠り、ダウン</t>
    <phoneticPr fontId="3"/>
  </si>
  <si>
    <t>ベタン、フール、毒</t>
    <phoneticPr fontId="3"/>
  </si>
  <si>
    <t>バギ、デイン、息封じ、踊り封じ、ルカニ、マホトーン、混乱、マインド</t>
    <phoneticPr fontId="3"/>
  </si>
  <si>
    <t>ソーン港 周辺
ネフスカの町 周辺
ジュレイ大橋 周辺</t>
    <phoneticPr fontId="3"/>
  </si>
  <si>
    <t>ベタン、ザキ、ダウン</t>
    <phoneticPr fontId="3"/>
  </si>
  <si>
    <t>デイン、踊り封じ、フール</t>
    <phoneticPr fontId="3"/>
  </si>
  <si>
    <t>バギ、斬撃封じ、ルカニ、マホトラ、混乱</t>
    <phoneticPr fontId="3"/>
  </si>
  <si>
    <t>ネフスカの町 周辺
ベスノザの大穴</t>
    <phoneticPr fontId="3"/>
  </si>
  <si>
    <t>毒 マホトーン</t>
    <phoneticPr fontId="3"/>
  </si>
  <si>
    <t>デイン ベタン 踊り封じ ザキ 眠り ダウン</t>
    <phoneticPr fontId="3"/>
  </si>
  <si>
    <t>フール</t>
    <phoneticPr fontId="3"/>
  </si>
  <si>
    <t>イオ バギ 斬撃封じ ルカニ マホトラ 混乱</t>
    <phoneticPr fontId="3"/>
  </si>
  <si>
    <t>ヒャド、ボミエ、マホトラ、混乱、マインド</t>
    <phoneticPr fontId="3"/>
  </si>
  <si>
    <t>ネフスカの町 周辺
ジュレイ大橋 周辺</t>
    <phoneticPr fontId="3"/>
  </si>
  <si>
    <t>メラ、バギ、踊り封じ、マホトーン、マインド</t>
    <phoneticPr fontId="3"/>
  </si>
  <si>
    <t>ヒャド、踊り封じ、ボミエ、マホトラ、混乱</t>
    <phoneticPr fontId="3"/>
  </si>
  <si>
    <t>メラ、マホトーン、マインド</t>
    <phoneticPr fontId="3"/>
  </si>
  <si>
    <t>ソーン港 周辺
ネフスカの町 周辺</t>
    <phoneticPr fontId="3"/>
  </si>
  <si>
    <t>ヒャド、ボミエ、ザキ、マヌーサ、混乱、マインド</t>
    <phoneticPr fontId="3"/>
  </si>
  <si>
    <t>バギ、ヒャド、ボミエ、混乱</t>
    <phoneticPr fontId="3"/>
  </si>
  <si>
    <t>メラ、息封じ、踊り封じ、マホトーン、マインド</t>
    <phoneticPr fontId="3"/>
  </si>
  <si>
    <t>デイン、ドルマ、フール、マヒ</t>
    <phoneticPr fontId="3"/>
  </si>
  <si>
    <t>ジュレイ大橋、暁の灯台・東 周辺
黄昏の灯台・西 周辺</t>
    <phoneticPr fontId="3"/>
  </si>
  <si>
    <t>踊り封じ、混乱、マインド</t>
    <phoneticPr fontId="3"/>
  </si>
  <si>
    <t>ベタン、炎ブレス、吹雪ブレス、体技封じ、斬撃封じ、息封じ、ルカニ、ボミエ、フール、ハック、ザキ、マヌーサ、毒、マホトラ、マヒ、眠り、ダウン</t>
    <phoneticPr fontId="3"/>
  </si>
  <si>
    <t>ヒャド、体技封じ、ボミエ、混乱</t>
    <phoneticPr fontId="3"/>
  </si>
  <si>
    <t>メラ、ベタン、踊り封じ、ザキ、マヌーサ、マホトーン、マインド、眠り</t>
    <phoneticPr fontId="3"/>
  </si>
  <si>
    <t>デイン、息封じ、フール、マヒ</t>
    <phoneticPr fontId="3"/>
  </si>
  <si>
    <t>混乱 ボミエ ヒャド</t>
    <phoneticPr fontId="3"/>
  </si>
  <si>
    <t>踊り封じ マインド マホトーン メラ</t>
    <phoneticPr fontId="3"/>
  </si>
  <si>
    <t>デイン フール マヒ</t>
    <phoneticPr fontId="3"/>
  </si>
  <si>
    <t>暁の灯台・東 周辺
黄昏の灯台・西 周辺</t>
    <phoneticPr fontId="3"/>
  </si>
  <si>
    <t>ヒャド、踊り封じ、ボミエ、ザキ、マホトラ、混乱</t>
    <phoneticPr fontId="3"/>
  </si>
  <si>
    <t>デイン、ルカニ、フール、マヌーサ、マヒ</t>
    <phoneticPr fontId="3"/>
  </si>
  <si>
    <t>高原の教会 周辺
強敵出現</t>
    <rPh sb="9" eb="13">
      <t>キョウテキシュツゲン</t>
    </rPh>
    <phoneticPr fontId="3"/>
  </si>
  <si>
    <t>メラ、ギラ、踊り封じ、マホトーン、眠り</t>
    <phoneticPr fontId="3"/>
  </si>
  <si>
    <t>ドルマ、ルカニ、ハック、混乱、マインド</t>
    <phoneticPr fontId="3"/>
  </si>
  <si>
    <t>ベタン、マヒ</t>
    <phoneticPr fontId="3"/>
  </si>
  <si>
    <t>メラ、フール、マヌーサ、毒</t>
    <phoneticPr fontId="3"/>
  </si>
  <si>
    <t>ドルマ、ベタン、ザキ、混乱</t>
    <phoneticPr fontId="3"/>
  </si>
  <si>
    <t>ルカニ、ハック</t>
    <phoneticPr fontId="3"/>
  </si>
  <si>
    <t>息封じ、眠り</t>
    <phoneticPr fontId="3"/>
  </si>
  <si>
    <t>ドルマ、ルカニ、ハック、混乱、マヒ</t>
    <phoneticPr fontId="3"/>
  </si>
  <si>
    <t>メラ、ベタン、息封じ、踊り封じ、マホトーン</t>
    <phoneticPr fontId="3"/>
  </si>
  <si>
    <t>ヒャド、フール、マヌーサ、マホトラ</t>
    <phoneticPr fontId="3"/>
  </si>
  <si>
    <t>ベスノザの大穴
ニエバの森・南
強敵出現</t>
    <phoneticPr fontId="3"/>
  </si>
  <si>
    <t>ヒャド、ドルマ、ルカニ、ハック、マホトラ、混乱</t>
    <phoneticPr fontId="3"/>
  </si>
  <si>
    <t>ベタン、息封じ、マホトーン</t>
    <phoneticPr fontId="3"/>
  </si>
  <si>
    <t>メラ、イオ、フール、マヌーサ、マインド</t>
    <phoneticPr fontId="3"/>
  </si>
  <si>
    <t>ドルマ、息封じ、混乱</t>
    <phoneticPr fontId="3"/>
  </si>
  <si>
    <t>ヒャド、吹雪ブレス、ルカニ、ザキ、毒</t>
    <phoneticPr fontId="3"/>
  </si>
  <si>
    <t>ベタン、ハック</t>
    <phoneticPr fontId="3"/>
  </si>
  <si>
    <t>メラ、デイン、炎ブレス、体技封じ、フール、マヌーサ、マホトーン、マインド</t>
    <phoneticPr fontId="3"/>
  </si>
  <si>
    <t>バギ、ドルマ、ルカニ、ハック、ザキ、混乱</t>
    <phoneticPr fontId="3"/>
  </si>
  <si>
    <t>ベタン、マインド、眠り</t>
    <phoneticPr fontId="3"/>
  </si>
  <si>
    <t>メラ、デイン、フール、マヌーサ、毒</t>
    <phoneticPr fontId="3"/>
  </si>
  <si>
    <t>ドルマ、斬撃封じ</t>
    <phoneticPr fontId="3"/>
  </si>
  <si>
    <t>ヒャド、息封じ、ルカニ、ザキ、混乱</t>
    <phoneticPr fontId="3"/>
  </si>
  <si>
    <t>ベタン、ハック、マヒ</t>
    <phoneticPr fontId="3"/>
  </si>
  <si>
    <t>メラ、ギラ、体技封じ、フール、マヌーサ、マインド</t>
    <phoneticPr fontId="3"/>
  </si>
  <si>
    <t>イオ、ザキ、マヌーサ、マホトーン、ダウン</t>
    <phoneticPr fontId="3"/>
  </si>
  <si>
    <t>ギラ、炎ブレス、吹雪ブレス、踊り封じ、マホトラ</t>
    <phoneticPr fontId="3"/>
  </si>
  <si>
    <t>デイン、ザキ、マヌーサ、ダウン</t>
    <phoneticPr fontId="3"/>
  </si>
  <si>
    <t>ルカニ、ザキ、マヌーサ、マホトーン、ダウン</t>
    <phoneticPr fontId="3"/>
  </si>
  <si>
    <t>ギラ、踊り封じ、ボミエ、フール、マホトラ</t>
    <phoneticPr fontId="3"/>
  </si>
  <si>
    <t>デイン、ドルマ、混乱</t>
    <phoneticPr fontId="3"/>
  </si>
  <si>
    <t>荒野のバザー 周辺
穴ぐら長屋 西
大灯台 西
砂漠の関所 東
ツァーク橋 東西
ルツの村 北
チャトル砂漠 西
冬の岬 南
カツェ村 東
カツェ村 西
ザザ城下町 周辺
エツィロプの洞くつ
渓谷の教会 付近
ホトルの村 周辺
岩角の教会
ゴダの町 周辺</t>
    <phoneticPr fontId="3"/>
  </si>
  <si>
    <t>ハック、ザキ、混乱、マインド、マヒ</t>
    <phoneticPr fontId="3"/>
  </si>
  <si>
    <t>メラ、斬撃封じ、踊り封じ</t>
    <phoneticPr fontId="3"/>
  </si>
  <si>
    <t>スタメン</t>
    <phoneticPr fontId="3"/>
  </si>
  <si>
    <t>サブ</t>
    <phoneticPr fontId="3"/>
  </si>
  <si>
    <t>LV</t>
    <phoneticPr fontId="3"/>
  </si>
  <si>
    <t>役割</t>
    <rPh sb="0" eb="2">
      <t>ヤクワリ</t>
    </rPh>
    <phoneticPr fontId="3"/>
  </si>
  <si>
    <t>せいかく</t>
    <phoneticPr fontId="3"/>
  </si>
  <si>
    <t>はぐれメタル</t>
    <phoneticPr fontId="3"/>
  </si>
  <si>
    <t>全大陸</t>
    <rPh sb="0" eb="3">
      <t>ゼンタイリク</t>
    </rPh>
    <phoneticPr fontId="3"/>
  </si>
  <si>
    <t>ルカニ、ボエミ、フール、マホトラ、マインド</t>
    <phoneticPr fontId="3"/>
  </si>
  <si>
    <t>ランクアップ　シュミレーション</t>
    <phoneticPr fontId="3"/>
  </si>
  <si>
    <t>現在のステータス</t>
    <rPh sb="0" eb="2">
      <t>ゲンザイ</t>
    </rPh>
    <phoneticPr fontId="3"/>
  </si>
  <si>
    <t>E→D</t>
    <phoneticPr fontId="3"/>
  </si>
  <si>
    <t>D→C</t>
    <phoneticPr fontId="3"/>
  </si>
  <si>
    <t>F→E</t>
    <phoneticPr fontId="3"/>
  </si>
  <si>
    <t>C→B</t>
    <phoneticPr fontId="3"/>
  </si>
  <si>
    <t>B→A</t>
    <phoneticPr fontId="3"/>
  </si>
  <si>
    <t>A→S</t>
    <phoneticPr fontId="3"/>
  </si>
  <si>
    <t>各ランクアップ値を約1.2倍で試算してます(ソース元：http://mp.swiki.jp/index.php?%E3%83%A9%E3%83%B3%E3%82%AF)</t>
    <rPh sb="0" eb="1">
      <t>カク</t>
    </rPh>
    <rPh sb="9" eb="10">
      <t>ヤク</t>
    </rPh>
    <rPh sb="25" eb="26">
      <t>モト</t>
    </rPh>
    <phoneticPr fontId="3"/>
  </si>
  <si>
    <t>↑ここにモンスターの各パラメータを入力して下さい</t>
    <rPh sb="10" eb="11">
      <t>カク</t>
    </rPh>
    <rPh sb="17" eb="19">
      <t>ニュウリョク</t>
    </rPh>
    <rPh sb="21" eb="22">
      <t>クダ</t>
    </rPh>
    <phoneticPr fontId="3"/>
  </si>
  <si>
    <t xml:space="preserve"> 　※赤背景色：各ステータスの最大値</t>
    <rPh sb="3" eb="4">
      <t>アカ</t>
    </rPh>
    <rPh sb="4" eb="6">
      <t>ハイケイ</t>
    </rPh>
    <rPh sb="6" eb="7">
      <t>ショク</t>
    </rPh>
    <rPh sb="8" eb="9">
      <t>カク</t>
    </rPh>
    <rPh sb="15" eb="18">
      <t>サイダイチ</t>
    </rPh>
    <phoneticPr fontId="3"/>
  </si>
  <si>
    <t xml:space="preserve"> 　※青背景色：各ステータスの最小値</t>
    <rPh sb="3" eb="4">
      <t>アオ</t>
    </rPh>
    <rPh sb="4" eb="6">
      <t>ハイケイ</t>
    </rPh>
    <rPh sb="6" eb="7">
      <t>ショク</t>
    </rPh>
    <rPh sb="8" eb="9">
      <t>カク</t>
    </rPh>
    <rPh sb="15" eb="18">
      <t>サイショウチ</t>
    </rPh>
    <phoneticPr fontId="3"/>
  </si>
  <si>
    <t>　＜表の見方＞</t>
    <rPh sb="2" eb="3">
      <t>ヒョウ</t>
    </rPh>
    <rPh sb="4" eb="6">
      <t>ミカタ</t>
    </rPh>
    <phoneticPr fontId="3"/>
  </si>
  <si>
    <t>とくぎ3</t>
    <phoneticPr fontId="3"/>
  </si>
  <si>
    <t>とくぎ3</t>
    <phoneticPr fontId="3"/>
  </si>
  <si>
    <t>伸び率</t>
    <rPh sb="0" eb="1">
      <t>ノ</t>
    </rPh>
    <rPh sb="2" eb="3">
      <t>リツ</t>
    </rPh>
    <phoneticPr fontId="27"/>
  </si>
  <si>
    <t>せいかく</t>
    <phoneticPr fontId="27"/>
  </si>
  <si>
    <t>ランク</t>
    <phoneticPr fontId="27"/>
  </si>
  <si>
    <t>LV</t>
  </si>
  <si>
    <t>シルバーデビル</t>
    <phoneticPr fontId="27"/>
  </si>
  <si>
    <t>C</t>
    <phoneticPr fontId="27"/>
  </si>
  <si>
    <t>シルバーデビル</t>
    <phoneticPr fontId="27"/>
  </si>
  <si>
    <t>C</t>
    <phoneticPr fontId="27"/>
  </si>
  <si>
    <t>ゴーレム</t>
    <phoneticPr fontId="27"/>
  </si>
  <si>
    <t>D</t>
    <phoneticPr fontId="27"/>
  </si>
  <si>
    <t>Lv50時の伸び率</t>
    <phoneticPr fontId="3"/>
  </si>
  <si>
    <t>ボミエ</t>
    <phoneticPr fontId="3"/>
  </si>
  <si>
    <t>ミニスライム</t>
  </si>
  <si>
    <t>ミニホイミスライム</t>
  </si>
  <si>
    <t>ミニスライムベス</t>
  </si>
  <si>
    <t>ミニスライムナイト</t>
  </si>
  <si>
    <t>ミニスライムタワー</t>
  </si>
  <si>
    <t>ミニメタルスライム</t>
  </si>
  <si>
    <t>ミニドラゴンキッズ</t>
  </si>
  <si>
    <t>ミニドラゴン</t>
  </si>
  <si>
    <t>ミニしましまキャット</t>
  </si>
  <si>
    <t>ミニいっかくウサギ</t>
  </si>
  <si>
    <t>ミニベビーパンサー</t>
  </si>
  <si>
    <t>ミニももんじゃ</t>
  </si>
  <si>
    <t>ミニおおきづち</t>
  </si>
  <si>
    <t>ミニモーモン</t>
  </si>
  <si>
    <t>ミニいたずらもぐら</t>
  </si>
  <si>
    <t>ミニわらいぶくろ</t>
  </si>
  <si>
    <t>ミニばくだんいわ</t>
  </si>
  <si>
    <t>ミニゴーレム</t>
  </si>
  <si>
    <t>ミニゴールドマン</t>
  </si>
  <si>
    <t>ミニドラキー</t>
  </si>
  <si>
    <t>ミニリップス</t>
  </si>
  <si>
    <t>ミニデザートデーモン</t>
  </si>
  <si>
    <t>ミニサイクロプス</t>
  </si>
  <si>
    <t>ミニつちわらし</t>
  </si>
  <si>
    <t>ミニおばけキャンドル</t>
  </si>
  <si>
    <t>マッドプラント</t>
  </si>
  <si>
    <t>ぐんたいガニ</t>
  </si>
  <si>
    <t>ビッグハンマー</t>
  </si>
  <si>
    <t>ギズモ</t>
  </si>
  <si>
    <t>ミニデーモン</t>
  </si>
  <si>
    <t>バアラック</t>
  </si>
  <si>
    <t>?</t>
  </si>
  <si>
    <t>????</t>
  </si>
  <si>
    <t>????</t>
    <phoneticPr fontId="3"/>
  </si>
  <si>
    <t>PT一覧表</t>
    <rPh sb="2" eb="4">
      <t>イチラン</t>
    </rPh>
    <rPh sb="4" eb="5">
      <t>ヒョウ</t>
    </rPh>
    <phoneticPr fontId="3"/>
  </si>
  <si>
    <t>修正内容</t>
    <rPh sb="0" eb="2">
      <t>シュウセイ</t>
    </rPh>
    <rPh sb="2" eb="4">
      <t>ナイヨウ</t>
    </rPh>
    <phoneticPr fontId="3"/>
  </si>
  <si>
    <t>対応Ver</t>
    <rPh sb="0" eb="2">
      <t>タイオウ</t>
    </rPh>
    <phoneticPr fontId="3"/>
  </si>
  <si>
    <t>ステータスのカンストを499→599に変更</t>
    <rPh sb="19" eb="21">
      <t>ヘンコウ</t>
    </rPh>
    <phoneticPr fontId="3"/>
  </si>
  <si>
    <t>2013/12/4　現在のデータを元に新モンスターの情報記載</t>
    <rPh sb="10" eb="12">
      <t>ゲンザイ</t>
    </rPh>
    <rPh sb="17" eb="18">
      <t>モト</t>
    </rPh>
    <rPh sb="19" eb="20">
      <t>シン</t>
    </rPh>
    <rPh sb="26" eb="28">
      <t>ジョウホウ</t>
    </rPh>
    <rPh sb="28" eb="30">
      <t>キサイ</t>
    </rPh>
    <phoneticPr fontId="3"/>
  </si>
  <si>
    <t>Lv50時、Lv25時にギルド補正込のステータス表示を表示させるように修正</t>
    <rPh sb="4" eb="5">
      <t>ジ</t>
    </rPh>
    <rPh sb="10" eb="11">
      <t>ジ</t>
    </rPh>
    <rPh sb="15" eb="17">
      <t>ホセイ</t>
    </rPh>
    <rPh sb="17" eb="18">
      <t>コミ</t>
    </rPh>
    <rPh sb="24" eb="26">
      <t>ヒョウジ</t>
    </rPh>
    <rPh sb="27" eb="29">
      <t>ヒョウジ</t>
    </rPh>
    <rPh sb="35" eb="37">
      <t>シュウセイ</t>
    </rPh>
    <phoneticPr fontId="3"/>
  </si>
  <si>
    <t>所属ギルド</t>
    <rPh sb="0" eb="2">
      <t>ショゾク</t>
    </rPh>
    <phoneticPr fontId="3"/>
  </si>
  <si>
    <t>ギルドランキング</t>
    <phoneticPr fontId="3"/>
  </si>
  <si>
    <t>どろにんぎょう</t>
  </si>
  <si>
    <t>はぐれメタル</t>
  </si>
  <si>
    <t>各ステの合計値を表示</t>
    <rPh sb="0" eb="1">
      <t>カク</t>
    </rPh>
    <rPh sb="4" eb="6">
      <t>ゴウケイ</t>
    </rPh>
    <rPh sb="6" eb="7">
      <t>チ</t>
    </rPh>
    <rPh sb="8" eb="10">
      <t>ヒョウジ</t>
    </rPh>
    <phoneticPr fontId="3"/>
  </si>
  <si>
    <t>合計</t>
    <rPh sb="0" eb="2">
      <t>ゴウケイ</t>
    </rPh>
    <phoneticPr fontId="3"/>
  </si>
  <si>
    <t>ギルド名</t>
    <rPh sb="3" eb="4">
      <t>メイ</t>
    </rPh>
    <phoneticPr fontId="3"/>
  </si>
  <si>
    <t>入会資格</t>
    <rPh sb="0" eb="2">
      <t>ニュウカイ</t>
    </rPh>
    <rPh sb="2" eb="4">
      <t>シカク</t>
    </rPh>
    <phoneticPr fontId="3"/>
  </si>
  <si>
    <t>入会地</t>
    <rPh sb="0" eb="2">
      <t>ニュウカイ</t>
    </rPh>
    <rPh sb="2" eb="3">
      <t>チ</t>
    </rPh>
    <phoneticPr fontId="3"/>
  </si>
  <si>
    <t>入会特典(上位)</t>
    <rPh sb="0" eb="2">
      <t>ニュウカイ</t>
    </rPh>
    <rPh sb="2" eb="4">
      <t>トクテン</t>
    </rPh>
    <rPh sb="5" eb="7">
      <t>ジョウイ</t>
    </rPh>
    <phoneticPr fontId="3"/>
  </si>
  <si>
    <t>モンスター一覧(2013/12/4現在)</t>
    <rPh sb="17" eb="19">
      <t>ゲンザイ</t>
    </rPh>
    <phoneticPr fontId="3"/>
  </si>
  <si>
    <t>上位</t>
  </si>
  <si>
    <t>通常</t>
  </si>
  <si>
    <t>ギルド一覧(2013/12/4現在)</t>
    <rPh sb="3" eb="5">
      <t>イチラン</t>
    </rPh>
    <rPh sb="15" eb="17">
      <t>ゲンザイ</t>
    </rPh>
    <phoneticPr fontId="3"/>
  </si>
  <si>
    <t>図書の森・北</t>
    <rPh sb="0" eb="2">
      <t>トショ</t>
    </rPh>
    <rPh sb="3" eb="4">
      <t>モリ</t>
    </rPh>
    <rPh sb="5" eb="6">
      <t>キタ</t>
    </rPh>
    <phoneticPr fontId="3"/>
  </si>
  <si>
    <t>全域</t>
    <rPh sb="0" eb="2">
      <t>ゼンイキ</t>
    </rPh>
    <phoneticPr fontId="3"/>
  </si>
  <si>
    <t>スライムハンターズ</t>
  </si>
  <si>
    <t>スライムハンターズ</t>
    <phoneticPr fontId="3"/>
  </si>
  <si>
    <t>希望の騎士団</t>
    <rPh sb="0" eb="2">
      <t>キボウ</t>
    </rPh>
    <rPh sb="3" eb="6">
      <t>キシダン</t>
    </rPh>
    <phoneticPr fontId="3"/>
  </si>
  <si>
    <t>七色商人キャラバン隊</t>
    <rPh sb="0" eb="2">
      <t>ナナイロ</t>
    </rPh>
    <rPh sb="2" eb="4">
      <t>ショウニン</t>
    </rPh>
    <rPh sb="9" eb="10">
      <t>タイ</t>
    </rPh>
    <phoneticPr fontId="3"/>
  </si>
  <si>
    <t>世界の秘密研究所</t>
    <rPh sb="0" eb="2">
      <t>セカイ</t>
    </rPh>
    <rPh sb="3" eb="5">
      <t>ヒミツ</t>
    </rPh>
    <rPh sb="5" eb="8">
      <t>ケンキュウジョ</t>
    </rPh>
    <phoneticPr fontId="3"/>
  </si>
  <si>
    <t>少年少女歌劇団</t>
    <rPh sb="0" eb="2">
      <t>ショウネン</t>
    </rPh>
    <rPh sb="2" eb="4">
      <t>ショウジョ</t>
    </rPh>
    <rPh sb="4" eb="7">
      <t>カゲキダン</t>
    </rPh>
    <phoneticPr fontId="3"/>
  </si>
  <si>
    <t>お昼寝推進委員会</t>
    <rPh sb="1" eb="3">
      <t>ヒルネ</t>
    </rPh>
    <rPh sb="3" eb="5">
      <t>スイシン</t>
    </rPh>
    <rPh sb="5" eb="8">
      <t>イインカイ</t>
    </rPh>
    <phoneticPr fontId="3"/>
  </si>
  <si>
    <t>ログイン時、30G支給
経験値 3％上がる
バトル時獲得G 3%上がる</t>
    <rPh sb="4" eb="5">
      <t>ジ</t>
    </rPh>
    <rPh sb="9" eb="11">
      <t>シキュウ</t>
    </rPh>
    <rPh sb="12" eb="15">
      <t>ケイケンチ</t>
    </rPh>
    <rPh sb="25" eb="26">
      <t>ジ</t>
    </rPh>
    <rPh sb="26" eb="28">
      <t>カクトク</t>
    </rPh>
    <phoneticPr fontId="3"/>
  </si>
  <si>
    <t>かしこさ　10%上がる
守備力 5%上がる
マヌーサ 耐性1段階上がる</t>
    <rPh sb="27" eb="29">
      <t>タイセイ</t>
    </rPh>
    <rPh sb="30" eb="32">
      <t>ダンカイ</t>
    </rPh>
    <phoneticPr fontId="3"/>
  </si>
  <si>
    <t>ログイン時、50G支給
バトル時獲得G 30%上がる
守備力 5%下がる</t>
    <rPh sb="4" eb="5">
      <t>ジ</t>
    </rPh>
    <rPh sb="9" eb="11">
      <t>シキュウ</t>
    </rPh>
    <rPh sb="15" eb="16">
      <t>ジ</t>
    </rPh>
    <rPh sb="16" eb="18">
      <t>カクトク</t>
    </rPh>
    <phoneticPr fontId="3"/>
  </si>
  <si>
    <r>
      <t xml:space="preserve">ログイン時、30G支給
</t>
    </r>
    <r>
      <rPr>
        <sz val="11"/>
        <color rgb="FFFF0000"/>
        <rFont val="ＭＳ Ｐゴシック"/>
        <family val="3"/>
        <charset val="128"/>
      </rPr>
      <t>経験値 30%上がる</t>
    </r>
    <r>
      <rPr>
        <sz val="11"/>
        <rFont val="ＭＳ Ｐゴシック"/>
        <family val="3"/>
        <charset val="128"/>
      </rPr>
      <t xml:space="preserve">
バトル時獲得G 3%上がる</t>
    </r>
    <rPh sb="4" eb="5">
      <t>ジ</t>
    </rPh>
    <rPh sb="9" eb="11">
      <t>シキュウ</t>
    </rPh>
    <rPh sb="12" eb="15">
      <t>ケイケンチ</t>
    </rPh>
    <rPh sb="26" eb="27">
      <t>ジ</t>
    </rPh>
    <rPh sb="27" eb="29">
      <t>カクトク</t>
    </rPh>
    <phoneticPr fontId="3"/>
  </si>
  <si>
    <r>
      <rPr>
        <sz val="11"/>
        <color rgb="FFFF0000"/>
        <rFont val="ＭＳ Ｐゴシック"/>
        <family val="3"/>
        <charset val="128"/>
      </rPr>
      <t>ログイン時、300G支給</t>
    </r>
    <r>
      <rPr>
        <sz val="11"/>
        <rFont val="ＭＳ Ｐゴシック"/>
        <family val="3"/>
        <charset val="128"/>
      </rPr>
      <t xml:space="preserve">
バトル時獲得G 30%上がる
守備力 5%下がる</t>
    </r>
    <rPh sb="4" eb="5">
      <t>ジ</t>
    </rPh>
    <rPh sb="10" eb="12">
      <t>シキュウ</t>
    </rPh>
    <rPh sb="16" eb="17">
      <t>ジ</t>
    </rPh>
    <rPh sb="17" eb="19">
      <t>カクトク</t>
    </rPh>
    <phoneticPr fontId="3"/>
  </si>
  <si>
    <r>
      <rPr>
        <sz val="11"/>
        <color rgb="FFFF0000"/>
        <rFont val="ＭＳ Ｐゴシック"/>
        <family val="3"/>
        <charset val="128"/>
      </rPr>
      <t>かしこさ　20%上がる</t>
    </r>
    <r>
      <rPr>
        <sz val="11"/>
        <rFont val="ＭＳ Ｐゴシック"/>
        <family val="3"/>
        <charset val="128"/>
      </rPr>
      <t xml:space="preserve">
守備力 5%上がる
マヌーサ 耐性1段階上がる</t>
    </r>
    <rPh sb="27" eb="29">
      <t>タイセイ</t>
    </rPh>
    <rPh sb="30" eb="32">
      <t>ダンカイ</t>
    </rPh>
    <phoneticPr fontId="3"/>
  </si>
  <si>
    <t>ログイン時、やくそう 1個支給
攻撃力 5%上がる
守備力 5%上がる</t>
    <rPh sb="4" eb="5">
      <t>ジ</t>
    </rPh>
    <rPh sb="12" eb="13">
      <t>コ</t>
    </rPh>
    <rPh sb="13" eb="15">
      <t>シキュウ</t>
    </rPh>
    <rPh sb="16" eb="19">
      <t>コウゲキリョク</t>
    </rPh>
    <rPh sb="26" eb="28">
      <t>シュビ</t>
    </rPh>
    <phoneticPr fontId="3"/>
  </si>
  <si>
    <r>
      <t xml:space="preserve">ログイン時、やくそう 1個支給
</t>
    </r>
    <r>
      <rPr>
        <sz val="11"/>
        <color rgb="FFFF0000"/>
        <rFont val="ＭＳ Ｐゴシック"/>
        <family val="3"/>
        <charset val="128"/>
      </rPr>
      <t>攻撃力 10%上がる
守備力 10%上がる</t>
    </r>
    <rPh sb="4" eb="5">
      <t>ジ</t>
    </rPh>
    <rPh sb="12" eb="13">
      <t>コ</t>
    </rPh>
    <rPh sb="13" eb="15">
      <t>シキュウ</t>
    </rPh>
    <rPh sb="16" eb="19">
      <t>コウゲキリョク</t>
    </rPh>
    <rPh sb="27" eb="29">
      <t>シュビ</t>
    </rPh>
    <phoneticPr fontId="3"/>
  </si>
  <si>
    <t>ログイン時、ゆうきのメガホン 1個支給
マホトーン 耐性1段階上がる
踊り封じ 耐性1段階上がる</t>
    <rPh sb="4" eb="5">
      <t>ジ</t>
    </rPh>
    <rPh sb="16" eb="17">
      <t>コ</t>
    </rPh>
    <rPh sb="17" eb="19">
      <t>シキュウ</t>
    </rPh>
    <rPh sb="35" eb="36">
      <t>オド</t>
    </rPh>
    <rPh sb="37" eb="38">
      <t>フウ</t>
    </rPh>
    <phoneticPr fontId="3"/>
  </si>
  <si>
    <r>
      <rPr>
        <sz val="11"/>
        <color rgb="FFFF0000"/>
        <rFont val="ＭＳ Ｐゴシック"/>
        <family val="3"/>
        <charset val="128"/>
      </rPr>
      <t>ログイン時、ゆうきのメガホン 3個支給</t>
    </r>
    <r>
      <rPr>
        <sz val="11"/>
        <rFont val="ＭＳ Ｐゴシック"/>
        <family val="3"/>
        <charset val="128"/>
      </rPr>
      <t xml:space="preserve">
マホトーン 耐性1段階上がる
踊り封じ 耐性1段階上がる</t>
    </r>
    <rPh sb="4" eb="5">
      <t>ジ</t>
    </rPh>
    <rPh sb="16" eb="17">
      <t>コ</t>
    </rPh>
    <rPh sb="17" eb="19">
      <t>シキュウ</t>
    </rPh>
    <rPh sb="35" eb="36">
      <t>オド</t>
    </rPh>
    <rPh sb="37" eb="38">
      <t>フウ</t>
    </rPh>
    <phoneticPr fontId="3"/>
  </si>
  <si>
    <t>？</t>
    <phoneticPr fontId="3"/>
  </si>
  <si>
    <t>守備力 15%上がる
眠り 耐性1段階下がる</t>
    <rPh sb="0" eb="3">
      <t>シュビリョク</t>
    </rPh>
    <rPh sb="7" eb="8">
      <t>ア</t>
    </rPh>
    <rPh sb="11" eb="12">
      <t>ネム</t>
    </rPh>
    <rPh sb="19" eb="20">
      <t>サ</t>
    </rPh>
    <phoneticPr fontId="3"/>
  </si>
  <si>
    <t>なし(所属しない)</t>
    <rPh sb="3" eb="5">
      <t>ショゾク</t>
    </rPh>
    <phoneticPr fontId="3"/>
  </si>
  <si>
    <t>荒れ地の行商ギルド</t>
    <rPh sb="0" eb="1">
      <t>ア</t>
    </rPh>
    <rPh sb="2" eb="3">
      <t>チ</t>
    </rPh>
    <rPh sb="4" eb="6">
      <t>ギョウショウ</t>
    </rPh>
    <phoneticPr fontId="3"/>
  </si>
  <si>
    <t>王立魔法研究所</t>
    <rPh sb="0" eb="2">
      <t>オウリツ</t>
    </rPh>
    <rPh sb="2" eb="4">
      <t>マホウ</t>
    </rPh>
    <rPh sb="4" eb="7">
      <t>ケンキュウジョ</t>
    </rPh>
    <phoneticPr fontId="3"/>
  </si>
  <si>
    <t>仮面の魔術団</t>
    <rPh sb="0" eb="2">
      <t>カメン</t>
    </rPh>
    <rPh sb="3" eb="5">
      <t>マジュツ</t>
    </rPh>
    <rPh sb="5" eb="6">
      <t>ダン</t>
    </rPh>
    <phoneticPr fontId="3"/>
  </si>
  <si>
    <t>はやぶさ猟団</t>
    <rPh sb="4" eb="5">
      <t>リョウ</t>
    </rPh>
    <rPh sb="5" eb="6">
      <t>ダン</t>
    </rPh>
    <phoneticPr fontId="3"/>
  </si>
  <si>
    <t>たまご料理研究会</t>
    <rPh sb="3" eb="5">
      <t>リョウリ</t>
    </rPh>
    <rPh sb="5" eb="8">
      <t>ケンキュウカイ</t>
    </rPh>
    <phoneticPr fontId="3"/>
  </si>
  <si>
    <t>怪力鉄腕軍</t>
    <rPh sb="0" eb="2">
      <t>カイリキ</t>
    </rPh>
    <rPh sb="2" eb="4">
      <t>テツワン</t>
    </rPh>
    <rPh sb="4" eb="5">
      <t>グン</t>
    </rPh>
    <phoneticPr fontId="3"/>
  </si>
  <si>
    <t>ログイン時、100G支給
バトル時獲得G 10%上がる</t>
    <rPh sb="4" eb="5">
      <t>ジ</t>
    </rPh>
    <rPh sb="10" eb="12">
      <t>シキュウ</t>
    </rPh>
    <rPh sb="16" eb="17">
      <t>ジ</t>
    </rPh>
    <rPh sb="17" eb="19">
      <t>カクトク</t>
    </rPh>
    <phoneticPr fontId="3"/>
  </si>
  <si>
    <r>
      <t xml:space="preserve">ログイン時、100G支給
バトル時獲得G 10%上がる
</t>
    </r>
    <r>
      <rPr>
        <sz val="11"/>
        <color rgb="FFFF0000"/>
        <rFont val="ＭＳ Ｐゴシック"/>
        <family val="3"/>
        <charset val="128"/>
      </rPr>
      <t>すばやさ　10%上がる</t>
    </r>
    <rPh sb="4" eb="5">
      <t>ジ</t>
    </rPh>
    <rPh sb="10" eb="12">
      <t>シキュウ</t>
    </rPh>
    <rPh sb="16" eb="17">
      <t>ジ</t>
    </rPh>
    <rPh sb="17" eb="19">
      <t>カクトク</t>
    </rPh>
    <rPh sb="36" eb="37">
      <t>ア</t>
    </rPh>
    <phoneticPr fontId="3"/>
  </si>
  <si>
    <t>かしこさ　50%上がる
守備力 25%下がる
ログイン時、まりょくの土 1個支給</t>
    <rPh sb="19" eb="20">
      <t>サ</t>
    </rPh>
    <rPh sb="34" eb="35">
      <t>ツチ</t>
    </rPh>
    <phoneticPr fontId="3"/>
  </si>
  <si>
    <r>
      <t xml:space="preserve">かしこさ　50%上がる
</t>
    </r>
    <r>
      <rPr>
        <sz val="11"/>
        <color rgb="FFFF0000"/>
        <rFont val="ＭＳ Ｐゴシック"/>
        <family val="3"/>
        <charset val="128"/>
      </rPr>
      <t>守備力 25%上がる</t>
    </r>
    <r>
      <rPr>
        <sz val="11"/>
        <rFont val="ＭＳ Ｐゴシック"/>
        <family val="3"/>
        <charset val="128"/>
      </rPr>
      <t xml:space="preserve">
ログイン時、まりょくの土 1個支給</t>
    </r>
    <rPh sb="19" eb="20">
      <t>ア</t>
    </rPh>
    <rPh sb="34" eb="35">
      <t>ツチ</t>
    </rPh>
    <phoneticPr fontId="3"/>
  </si>
  <si>
    <t>かしこさ　50%上がる
すばやさ 20%下がる</t>
    <rPh sb="20" eb="21">
      <t>サ</t>
    </rPh>
    <phoneticPr fontId="3"/>
  </si>
  <si>
    <r>
      <t xml:space="preserve">かしこさ　50%上がる
</t>
    </r>
    <r>
      <rPr>
        <sz val="11"/>
        <color rgb="FFFF0000"/>
        <rFont val="ＭＳ Ｐゴシック"/>
        <family val="3"/>
        <charset val="128"/>
      </rPr>
      <t>すばやさ 20%上がる</t>
    </r>
    <rPh sb="20" eb="21">
      <t>ア</t>
    </rPh>
    <phoneticPr fontId="3"/>
  </si>
  <si>
    <t>すばやさ 50%上がる</t>
    <rPh sb="8" eb="9">
      <t>ア</t>
    </rPh>
    <phoneticPr fontId="3"/>
  </si>
  <si>
    <t>すばやさ 60%上がる</t>
    <rPh sb="8" eb="9">
      <t>ア</t>
    </rPh>
    <phoneticPr fontId="3"/>
  </si>
  <si>
    <t>ログイン時、きよめの水 2個支給
ログイン時、花のみつ 1個支給
ログイン時、小さなホネ 1個支給</t>
    <rPh sb="10" eb="11">
      <t>ミズ</t>
    </rPh>
    <rPh sb="23" eb="24">
      <t>ハナ</t>
    </rPh>
    <rPh sb="39" eb="40">
      <t>チイ</t>
    </rPh>
    <phoneticPr fontId="3"/>
  </si>
  <si>
    <r>
      <rPr>
        <sz val="11"/>
        <color rgb="FFFF0000"/>
        <rFont val="ＭＳ Ｐゴシック"/>
        <family val="3"/>
        <charset val="128"/>
      </rPr>
      <t>ログイン時、まじゅうのホネ 1個支給</t>
    </r>
    <r>
      <rPr>
        <sz val="11"/>
        <rFont val="ＭＳ Ｐゴシック"/>
        <family val="3"/>
        <charset val="128"/>
      </rPr>
      <t xml:space="preserve">
ログイン時、花のみつ 1個支給
ログイン時、きよめの水 2個支給</t>
    </r>
    <rPh sb="25" eb="26">
      <t>ハナ</t>
    </rPh>
    <phoneticPr fontId="3"/>
  </si>
  <si>
    <t>攻撃力　20%上がる
かいしん率 10%上がる
守備力 10%下がる</t>
    <rPh sb="0" eb="3">
      <t>コウゲキリョク</t>
    </rPh>
    <rPh sb="15" eb="16">
      <t>リツ</t>
    </rPh>
    <rPh sb="20" eb="21">
      <t>ア</t>
    </rPh>
    <phoneticPr fontId="3"/>
  </si>
  <si>
    <t>ひみつの花園委員会</t>
    <rPh sb="4" eb="6">
      <t>ハナゾノ</t>
    </rPh>
    <rPh sb="6" eb="9">
      <t>イインカイ</t>
    </rPh>
    <phoneticPr fontId="3"/>
  </si>
  <si>
    <t>セロー友の会</t>
    <rPh sb="3" eb="4">
      <t>トモ</t>
    </rPh>
    <rPh sb="5" eb="6">
      <t>カイ</t>
    </rPh>
    <phoneticPr fontId="3"/>
  </si>
  <si>
    <t>ジュレイツ王宮騎士団</t>
    <rPh sb="5" eb="7">
      <t>オウキュウ</t>
    </rPh>
    <rPh sb="7" eb="10">
      <t>キシダン</t>
    </rPh>
    <phoneticPr fontId="3"/>
  </si>
  <si>
    <t>金色の荒鷲旅団</t>
    <rPh sb="0" eb="2">
      <t>コンジキ</t>
    </rPh>
    <rPh sb="3" eb="4">
      <t>ア</t>
    </rPh>
    <rPh sb="4" eb="5">
      <t>ワシ</t>
    </rPh>
    <rPh sb="5" eb="6">
      <t>タビ</t>
    </rPh>
    <rPh sb="6" eb="7">
      <t>ダン</t>
    </rPh>
    <phoneticPr fontId="3"/>
  </si>
  <si>
    <r>
      <rPr>
        <sz val="11"/>
        <color rgb="FFFF0000"/>
        <rFont val="ＭＳ Ｐゴシック"/>
        <family val="3"/>
        <charset val="128"/>
      </rPr>
      <t>攻撃力　30%上がる</t>
    </r>
    <r>
      <rPr>
        <sz val="11"/>
        <rFont val="ＭＳ Ｐゴシック"/>
        <family val="3"/>
        <charset val="128"/>
      </rPr>
      <t xml:space="preserve">
かいしん率 10%上がる
守備力 10%下がる</t>
    </r>
    <rPh sb="0" eb="3">
      <t>コウゲキリョク</t>
    </rPh>
    <rPh sb="15" eb="16">
      <t>リツ</t>
    </rPh>
    <rPh sb="20" eb="21">
      <t>ア</t>
    </rPh>
    <phoneticPr fontId="3"/>
  </si>
  <si>
    <t>ログイン時、かがやきの樹液 1個支給
ログイン時、ちょうのはね 1個支給
ログイン時、花のみつ 1個支給</t>
    <rPh sb="11" eb="13">
      <t>ジュエキ</t>
    </rPh>
    <rPh sb="43" eb="44">
      <t>ハナ</t>
    </rPh>
    <phoneticPr fontId="3"/>
  </si>
  <si>
    <r>
      <t xml:space="preserve">ログイン時、かがやきの樹液 1個支給
ログイン時、ちょうのはね 1個支給
</t>
    </r>
    <r>
      <rPr>
        <sz val="11"/>
        <color rgb="FFFF0000"/>
        <rFont val="ＭＳ Ｐゴシック"/>
        <family val="3"/>
        <charset val="128"/>
      </rPr>
      <t>ログイン時、花のみつ 3個支給</t>
    </r>
    <rPh sb="11" eb="13">
      <t>ジュエキ</t>
    </rPh>
    <rPh sb="43" eb="44">
      <t>ハナ</t>
    </rPh>
    <phoneticPr fontId="3"/>
  </si>
  <si>
    <t>ログイン時、うまのふん 1個支給</t>
    <phoneticPr fontId="3"/>
  </si>
  <si>
    <t>ログイン時、ホワイトパール 1個支給</t>
    <phoneticPr fontId="3"/>
  </si>
  <si>
    <t>ログイン時、100G支給
経験値 5％上がる
バトル時獲得G 5%上がる</t>
    <rPh sb="4" eb="5">
      <t>ジ</t>
    </rPh>
    <rPh sb="10" eb="12">
      <t>シキュウ</t>
    </rPh>
    <rPh sb="26" eb="27">
      <t>ジ</t>
    </rPh>
    <rPh sb="27" eb="29">
      <t>カクトク</t>
    </rPh>
    <phoneticPr fontId="3"/>
  </si>
  <si>
    <r>
      <rPr>
        <sz val="11"/>
        <color rgb="FFFF0000"/>
        <rFont val="ＭＳ Ｐゴシック"/>
        <family val="3"/>
        <charset val="128"/>
      </rPr>
      <t>ログイン時、500G支給</t>
    </r>
    <r>
      <rPr>
        <sz val="11"/>
        <rFont val="ＭＳ Ｐゴシック"/>
        <family val="3"/>
        <charset val="128"/>
      </rPr>
      <t xml:space="preserve">
経験値 5％上がる
バトル時獲得G 5%上がる</t>
    </r>
    <rPh sb="4" eb="5">
      <t>ジ</t>
    </rPh>
    <rPh sb="10" eb="12">
      <t>シキュウ</t>
    </rPh>
    <rPh sb="26" eb="27">
      <t>ジ</t>
    </rPh>
    <rPh sb="27" eb="29">
      <t>カクトク</t>
    </rPh>
    <phoneticPr fontId="3"/>
  </si>
  <si>
    <t>攻撃力　10%上がる
かしこさ 10%上がる</t>
    <rPh sb="0" eb="3">
      <t>コウゲキリョク</t>
    </rPh>
    <rPh sb="19" eb="20">
      <t>ア</t>
    </rPh>
    <phoneticPr fontId="3"/>
  </si>
  <si>
    <r>
      <t xml:space="preserve">攻撃力　10%上がる
かしこさ 10%上がる
</t>
    </r>
    <r>
      <rPr>
        <sz val="11"/>
        <color rgb="FFFF0000"/>
        <rFont val="ＭＳ Ｐゴシック"/>
        <family val="3"/>
        <charset val="128"/>
      </rPr>
      <t>守備力 10%上がる</t>
    </r>
    <rPh sb="0" eb="3">
      <t>コウゲキリョク</t>
    </rPh>
    <rPh sb="19" eb="20">
      <t>ア</t>
    </rPh>
    <rPh sb="30" eb="31">
      <t>ア</t>
    </rPh>
    <phoneticPr fontId="3"/>
  </si>
  <si>
    <t>密林レンジャー部隊</t>
    <rPh sb="0" eb="2">
      <t>ミツリン</t>
    </rPh>
    <rPh sb="7" eb="9">
      <t>ブタイ</t>
    </rPh>
    <phoneticPr fontId="3"/>
  </si>
  <si>
    <t>炎の温泉組合</t>
    <rPh sb="0" eb="1">
      <t>ホノオ</t>
    </rPh>
    <rPh sb="2" eb="4">
      <t>オンセン</t>
    </rPh>
    <rPh sb="4" eb="6">
      <t>クミアイ</t>
    </rPh>
    <phoneticPr fontId="3"/>
  </si>
  <si>
    <t>ログイン時、上やくそう 1個支給
ログイン時、まんげつそう 1個支給
ログイン時、めざめのはな 1個支給</t>
    <rPh sb="6" eb="7">
      <t>ジョウ</t>
    </rPh>
    <phoneticPr fontId="3"/>
  </si>
  <si>
    <t>★新ギルドのため情報入り次第更新します(それまでは通常会員と同じとします)</t>
    <rPh sb="1" eb="2">
      <t>シン</t>
    </rPh>
    <rPh sb="8" eb="10">
      <t>ジョウホウ</t>
    </rPh>
    <rPh sb="10" eb="11">
      <t>ハイ</t>
    </rPh>
    <rPh sb="12" eb="14">
      <t>シダイ</t>
    </rPh>
    <rPh sb="14" eb="16">
      <t>コウシン</t>
    </rPh>
    <rPh sb="25" eb="27">
      <t>ツウジョウ</t>
    </rPh>
    <rPh sb="27" eb="29">
      <t>カイイン</t>
    </rPh>
    <rPh sb="30" eb="31">
      <t>オナ</t>
    </rPh>
    <phoneticPr fontId="3"/>
  </si>
  <si>
    <t>ログイン時、まほうの小びん 1個支給
ログイン時、きよめの水 1個支給
マヌーサ 耐性2段階上がる</t>
    <rPh sb="10" eb="11">
      <t>ショウ</t>
    </rPh>
    <rPh sb="29" eb="30">
      <t>ミズ</t>
    </rPh>
    <phoneticPr fontId="3"/>
  </si>
  <si>
    <t>★合計</t>
    <rPh sb="1" eb="3">
      <t>ゴウケイ</t>
    </rPh>
    <phoneticPr fontId="3"/>
  </si>
  <si>
    <t>変更履歴</t>
    <rPh sb="0" eb="2">
      <t>ヘンコウ</t>
    </rPh>
    <rPh sb="2" eb="4">
      <t>リレキ</t>
    </rPh>
    <phoneticPr fontId="3"/>
  </si>
  <si>
    <t>ドラゴンスライム</t>
  </si>
  <si>
    <t>ドラゴンスライム</t>
    <phoneticPr fontId="3"/>
  </si>
  <si>
    <t>ベホイムスライム</t>
  </si>
  <si>
    <t>ベホイムスライム</t>
    <phoneticPr fontId="3"/>
  </si>
  <si>
    <t>テラノザース</t>
  </si>
  <si>
    <t>テラノザース</t>
    <phoneticPr fontId="3"/>
  </si>
  <si>
    <t>メラリザード</t>
  </si>
  <si>
    <t>メラリザード</t>
    <phoneticPr fontId="3"/>
  </si>
  <si>
    <t>はしりとかげ</t>
  </si>
  <si>
    <t>はしりとかげ</t>
    <phoneticPr fontId="3"/>
  </si>
  <si>
    <t>おおくちばし</t>
  </si>
  <si>
    <t>おおくちばし</t>
    <phoneticPr fontId="3"/>
  </si>
  <si>
    <t>わらいぐさ</t>
  </si>
  <si>
    <t>わらいぐさ</t>
    <phoneticPr fontId="3"/>
  </si>
  <si>
    <t>じんめんじゅ</t>
  </si>
  <si>
    <t>じんめんじゅ</t>
    <phoneticPr fontId="3"/>
  </si>
  <si>
    <t>エビルプラント</t>
  </si>
  <si>
    <t>エビルプラント</t>
    <phoneticPr fontId="3"/>
  </si>
  <si>
    <t>ガニラス</t>
  </si>
  <si>
    <t>ガニラス</t>
    <phoneticPr fontId="3"/>
  </si>
  <si>
    <t>キラーパンサー</t>
  </si>
  <si>
    <t>キラーパンサー</t>
    <phoneticPr fontId="3"/>
  </si>
  <si>
    <t>ウドラー</t>
  </si>
  <si>
    <t>ウドラー</t>
    <phoneticPr fontId="3"/>
  </si>
  <si>
    <t>マポレーナ</t>
  </si>
  <si>
    <t>マポレーナ</t>
    <phoneticPr fontId="3"/>
  </si>
  <si>
    <t>ゴールドオーク</t>
  </si>
  <si>
    <t>ゴールドオーク</t>
    <phoneticPr fontId="3"/>
  </si>
  <si>
    <t>どろにんぎょう</t>
    <phoneticPr fontId="3"/>
  </si>
  <si>
    <t>ダークホビット</t>
  </si>
  <si>
    <t>ダークホビット</t>
    <phoneticPr fontId="3"/>
  </si>
  <si>
    <t>ヒートギズモ</t>
  </si>
  <si>
    <t>ヒートギズモ</t>
    <phoneticPr fontId="3"/>
  </si>
  <si>
    <t>ほのおのせんし</t>
  </si>
  <si>
    <t>ほのおのせんし</t>
    <phoneticPr fontId="3"/>
  </si>
  <si>
    <t>ホロゴースト</t>
  </si>
  <si>
    <t>ホロゴースト</t>
    <phoneticPr fontId="3"/>
  </si>
  <si>
    <t>ストーンマン</t>
  </si>
  <si>
    <t>ストーンマン</t>
    <phoneticPr fontId="3"/>
  </si>
  <si>
    <t>くびかり族</t>
  </si>
  <si>
    <t>くびかり族</t>
    <rPh sb="4" eb="5">
      <t>ゾク</t>
    </rPh>
    <phoneticPr fontId="3"/>
  </si>
  <si>
    <t>バーサーカー</t>
  </si>
  <si>
    <t>バーサーカー</t>
    <phoneticPr fontId="3"/>
  </si>
  <si>
    <t>グレートライドン</t>
  </si>
  <si>
    <t>グレートライドン</t>
    <phoneticPr fontId="3"/>
  </si>
  <si>
    <t>入会特典(通常)</t>
    <rPh sb="0" eb="2">
      <t>ニュウカイ</t>
    </rPh>
    <rPh sb="2" eb="4">
      <t>トクテン</t>
    </rPh>
    <rPh sb="5" eb="7">
      <t>ツウジョウ</t>
    </rPh>
    <phoneticPr fontId="3"/>
  </si>
  <si>
    <t>キャラバンタスク</t>
    <phoneticPr fontId="3"/>
  </si>
  <si>
    <t>モンスター毎Lv50時　成長予想データ</t>
    <rPh sb="12" eb="14">
      <t>セイチョウ</t>
    </rPh>
    <rPh sb="14" eb="16">
      <t>ヨソウ</t>
    </rPh>
    <phoneticPr fontId="3"/>
  </si>
  <si>
    <t>モンスター毎Lv25時　成長予想データ</t>
    <rPh sb="12" eb="14">
      <t>セイチョウ</t>
    </rPh>
    <rPh sb="14" eb="16">
      <t>ヨソウ</t>
    </rPh>
    <phoneticPr fontId="3"/>
  </si>
  <si>
    <t>2013/12/4AM中までの有効データのみ</t>
    <rPh sb="11" eb="12">
      <t>ナカ</t>
    </rPh>
    <rPh sb="15" eb="17">
      <t>ユウコウ</t>
    </rPh>
    <phoneticPr fontId="3"/>
  </si>
  <si>
    <t>優先度</t>
    <phoneticPr fontId="3"/>
  </si>
  <si>
    <t>タスク内容(目標など)</t>
    <rPh sb="3" eb="5">
      <t>ナイヨウ</t>
    </rPh>
    <rPh sb="6" eb="8">
      <t>モクヒョウ</t>
    </rPh>
    <phoneticPr fontId="3"/>
  </si>
  <si>
    <t>タスク内容(目標など)</t>
    <rPh sb="3" eb="5">
      <t>ナイヨウ</t>
    </rPh>
    <rPh sb="6" eb="8">
      <t>モクヒョウ</t>
    </rPh>
    <phoneticPr fontId="3"/>
  </si>
  <si>
    <t>タスク内容(目標など)</t>
    <phoneticPr fontId="3"/>
  </si>
  <si>
    <t>優先度</t>
    <rPh sb="0" eb="3">
      <t>ユウセンド</t>
    </rPh>
    <phoneticPr fontId="3"/>
  </si>
  <si>
    <t>↓現ステータスを入力ください</t>
    <rPh sb="1" eb="2">
      <t>ゲン</t>
    </rPh>
    <rPh sb="8" eb="10">
      <t>ニュウリョク</t>
    </rPh>
    <phoneticPr fontId="3"/>
  </si>
  <si>
    <t>ギルド補正(通常)</t>
    <rPh sb="3" eb="5">
      <t>ホセイ</t>
    </rPh>
    <rPh sb="6" eb="8">
      <t>ツウジョウ</t>
    </rPh>
    <phoneticPr fontId="3"/>
  </si>
  <si>
    <t>ギルド補正(上位)</t>
    <rPh sb="3" eb="5">
      <t>ホセイ</t>
    </rPh>
    <rPh sb="6" eb="8">
      <t>ジョウイ</t>
    </rPh>
    <phoneticPr fontId="3"/>
  </si>
  <si>
    <t>はじめに</t>
    <phoneticPr fontId="3"/>
  </si>
  <si>
    <t>＜注意点＞</t>
    <rPh sb="1" eb="4">
      <t>チュウイテン</t>
    </rPh>
    <phoneticPr fontId="3"/>
  </si>
  <si>
    <t>以下の注意点をお読みになった上で、お使いください。</t>
    <rPh sb="0" eb="2">
      <t>イカ</t>
    </rPh>
    <rPh sb="3" eb="5">
      <t>チュウイ</t>
    </rPh>
    <rPh sb="8" eb="9">
      <t>ヨ</t>
    </rPh>
    <rPh sb="14" eb="15">
      <t>ウエ</t>
    </rPh>
    <rPh sb="18" eb="19">
      <t>ツカ</t>
    </rPh>
    <phoneticPr fontId="3"/>
  </si>
  <si>
    <t>2.新大陸アプデ後、まだ情報がそろっておりませんので全モンスターを確認することができません。</t>
    <rPh sb="2" eb="5">
      <t>シンタイリク</t>
    </rPh>
    <rPh sb="8" eb="9">
      <t>ゴ</t>
    </rPh>
    <rPh sb="12" eb="14">
      <t>ジョウホウ</t>
    </rPh>
    <rPh sb="26" eb="27">
      <t>ゼン</t>
    </rPh>
    <rPh sb="33" eb="35">
      <t>カクニン</t>
    </rPh>
    <phoneticPr fontId="3"/>
  </si>
  <si>
    <t>→Wikiが更新され次第随時対応します。</t>
    <rPh sb="6" eb="8">
      <t>コウシン</t>
    </rPh>
    <rPh sb="10" eb="12">
      <t>シダイ</t>
    </rPh>
    <rPh sb="12" eb="14">
      <t>ズイジ</t>
    </rPh>
    <rPh sb="14" eb="16">
      <t>タイオウ</t>
    </rPh>
    <phoneticPr fontId="3"/>
  </si>
  <si>
    <t>1.予想データはあくまでも予想ですので、異なった場合の責任は負いませんので、ご了承ください。</t>
    <rPh sb="2" eb="4">
      <t>ヨソウ</t>
    </rPh>
    <rPh sb="13" eb="15">
      <t>ヨソウ</t>
    </rPh>
    <rPh sb="20" eb="21">
      <t>コト</t>
    </rPh>
    <rPh sb="24" eb="26">
      <t>バアイ</t>
    </rPh>
    <rPh sb="27" eb="29">
      <t>セキニン</t>
    </rPh>
    <rPh sb="30" eb="31">
      <t>オ</t>
    </rPh>
    <rPh sb="39" eb="41">
      <t>リョウショウ</t>
    </rPh>
    <phoneticPr fontId="3"/>
  </si>
  <si>
    <t>3.このファイルで改善や要望がありましたら、雑談掲示板で発言していただければと思います。</t>
    <rPh sb="9" eb="11">
      <t>カイゼン</t>
    </rPh>
    <rPh sb="12" eb="14">
      <t>ヨウボウ</t>
    </rPh>
    <rPh sb="22" eb="24">
      <t>ザツダン</t>
    </rPh>
    <rPh sb="24" eb="26">
      <t>ケイジ</t>
    </rPh>
    <rPh sb="26" eb="27">
      <t>バン</t>
    </rPh>
    <rPh sb="28" eb="30">
      <t>ハツゲン</t>
    </rPh>
    <rPh sb="39" eb="40">
      <t>オモ</t>
    </rPh>
    <phoneticPr fontId="3"/>
  </si>
  <si>
    <t>「モンパレデータいろいろ」をDLしていただきありがとうございます。</t>
    <phoneticPr fontId="3"/>
  </si>
  <si>
    <t>変更履歴、はじめに、ギルド一覧シート作成</t>
    <rPh sb="0" eb="2">
      <t>ヘンコウ</t>
    </rPh>
    <rPh sb="2" eb="4">
      <t>リレキ</t>
    </rPh>
    <rPh sb="13" eb="15">
      <t>イチラン</t>
    </rPh>
    <rPh sb="18" eb="20">
      <t>サクセイ</t>
    </rPh>
    <phoneticPr fontId="3"/>
  </si>
  <si>
    <r>
      <t>↓変化している部分を</t>
    </r>
    <r>
      <rPr>
        <b/>
        <sz val="11"/>
        <color rgb="FFFF0000"/>
        <rFont val="ＭＳ Ｐゴシック"/>
        <family val="3"/>
        <charset val="128"/>
      </rPr>
      <t>赤字</t>
    </r>
    <r>
      <rPr>
        <b/>
        <sz val="11"/>
        <rFont val="ＭＳ Ｐゴシック"/>
        <family val="3"/>
        <charset val="128"/>
      </rPr>
      <t>で表示</t>
    </r>
    <rPh sb="1" eb="3">
      <t>ヘンカ</t>
    </rPh>
    <rPh sb="7" eb="9">
      <t>ブブン</t>
    </rPh>
    <rPh sb="10" eb="11">
      <t>アカ</t>
    </rPh>
    <rPh sb="11" eb="12">
      <t>ジ</t>
    </rPh>
    <rPh sb="13" eb="15">
      <t>ヒョウジ</t>
    </rPh>
    <phoneticPr fontId="3"/>
  </si>
  <si>
    <t>取得元モンスター名</t>
    <rPh sb="0" eb="2">
      <t>シュトク</t>
    </rPh>
    <rPh sb="2" eb="3">
      <t>モト</t>
    </rPh>
    <rPh sb="8" eb="9">
      <t>メイ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</si>
</sst>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_ "/>
    <numFmt numFmtId="178" formatCode="0.00_ "/>
    <numFmt numFmtId="179" formatCode="0_);[Red]\(0\)"/>
    <numFmt numFmtId="180" formatCode="[&gt;=599]\5\9\9;0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0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horizontal="right" vertical="center" wrapText="1"/>
    </xf>
    <xf numFmtId="0" fontId="11" fillId="5" borderId="4" xfId="1" applyFill="1" applyBorder="1" applyAlignment="1" applyProtection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2" fillId="10" borderId="16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15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7" fillId="13" borderId="4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7" fillId="14" borderId="4" xfId="0" applyFont="1" applyFill="1" applyBorder="1" applyAlignment="1">
      <alignment horizontal="right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right" vertical="center" wrapText="1"/>
    </xf>
    <xf numFmtId="0" fontId="0" fillId="16" borderId="4" xfId="0" applyFill="1" applyBorder="1" applyAlignment="1">
      <alignment vertical="center" wrapText="1"/>
    </xf>
    <xf numFmtId="0" fontId="0" fillId="16" borderId="4" xfId="0" applyFill="1" applyBorder="1" applyAlignment="1">
      <alignment horizontal="right" vertical="center" wrapText="1"/>
    </xf>
    <xf numFmtId="0" fontId="17" fillId="10" borderId="20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15" borderId="20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7" borderId="20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0" fillId="10" borderId="20" xfId="0" applyFill="1" applyBorder="1">
      <alignment vertical="center"/>
    </xf>
    <xf numFmtId="0" fontId="0" fillId="3" borderId="6" xfId="0" applyFill="1" applyBorder="1" applyAlignment="1">
      <alignment horizontal="right" vertical="center" wrapText="1"/>
    </xf>
    <xf numFmtId="0" fontId="11" fillId="5" borderId="6" xfId="1" applyFill="1" applyBorder="1" applyAlignment="1" applyProtection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0" fontId="6" fillId="19" borderId="21" xfId="0" applyFont="1" applyFill="1" applyBorder="1" applyAlignment="1">
      <alignment horizontal="right" vertical="center" wrapText="1"/>
    </xf>
    <xf numFmtId="0" fontId="6" fillId="19" borderId="2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16" borderId="22" xfId="0" applyFont="1" applyFill="1" applyBorder="1" applyAlignment="1">
      <alignment horizontal="center" vertical="center" wrapText="1"/>
    </xf>
    <xf numFmtId="0" fontId="12" fillId="20" borderId="22" xfId="0" applyFont="1" applyFill="1" applyBorder="1" applyAlignment="1">
      <alignment horizontal="center" vertical="center" wrapText="1"/>
    </xf>
    <xf numFmtId="176" fontId="12" fillId="10" borderId="22" xfId="0" applyNumberFormat="1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11" borderId="20" xfId="0" applyFill="1" applyBorder="1">
      <alignment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1" fillId="5" borderId="4" xfId="1" applyFont="1" applyFill="1" applyBorder="1" applyAlignment="1" applyProtection="1">
      <alignment vertical="center" wrapText="1"/>
    </xf>
    <xf numFmtId="0" fontId="12" fillId="4" borderId="4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12" fillId="11" borderId="4" xfId="0" applyNumberFormat="1" applyFont="1" applyFill="1" applyBorder="1" applyAlignment="1">
      <alignment horizontal="center" vertical="center"/>
    </xf>
    <xf numFmtId="177" fontId="6" fillId="8" borderId="4" xfId="0" applyNumberFormat="1" applyFont="1" applyFill="1" applyBorder="1" applyAlignment="1">
      <alignment horizontal="center" vertical="center"/>
    </xf>
    <xf numFmtId="177" fontId="6" fillId="12" borderId="4" xfId="0" applyNumberFormat="1" applyFont="1" applyFill="1" applyBorder="1" applyAlignment="1">
      <alignment horizontal="center" vertical="center"/>
    </xf>
    <xf numFmtId="177" fontId="6" fillId="21" borderId="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77" fontId="6" fillId="8" borderId="8" xfId="0" applyNumberFormat="1" applyFont="1" applyFill="1" applyBorder="1" applyAlignment="1">
      <alignment horizontal="center" vertical="center"/>
    </xf>
    <xf numFmtId="177" fontId="6" fillId="8" borderId="14" xfId="0" applyNumberFormat="1" applyFont="1" applyFill="1" applyBorder="1" applyAlignment="1">
      <alignment horizontal="center" vertical="center"/>
    </xf>
    <xf numFmtId="177" fontId="12" fillId="11" borderId="8" xfId="0" applyNumberFormat="1" applyFont="1" applyFill="1" applyBorder="1" applyAlignment="1">
      <alignment horizontal="center" vertical="center"/>
    </xf>
    <xf numFmtId="177" fontId="12" fillId="11" borderId="14" xfId="0" applyNumberFormat="1" applyFont="1" applyFill="1" applyBorder="1" applyAlignment="1">
      <alignment horizontal="center" vertical="center"/>
    </xf>
    <xf numFmtId="177" fontId="6" fillId="12" borderId="8" xfId="0" applyNumberFormat="1" applyFont="1" applyFill="1" applyBorder="1" applyAlignment="1">
      <alignment horizontal="center" vertical="center"/>
    </xf>
    <xf numFmtId="177" fontId="6" fillId="12" borderId="14" xfId="0" applyNumberFormat="1" applyFont="1" applyFill="1" applyBorder="1" applyAlignment="1">
      <alignment horizontal="center" vertical="center"/>
    </xf>
    <xf numFmtId="177" fontId="6" fillId="21" borderId="8" xfId="0" applyNumberFormat="1" applyFont="1" applyFill="1" applyBorder="1" applyAlignment="1">
      <alignment horizontal="center" vertical="center"/>
    </xf>
    <xf numFmtId="177" fontId="6" fillId="21" borderId="14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7" fontId="12" fillId="22" borderId="8" xfId="0" applyNumberFormat="1" applyFont="1" applyFill="1" applyBorder="1" applyAlignment="1">
      <alignment horizontal="center" vertical="center"/>
    </xf>
    <xf numFmtId="177" fontId="12" fillId="22" borderId="4" xfId="0" applyNumberFormat="1" applyFont="1" applyFill="1" applyBorder="1" applyAlignment="1">
      <alignment horizontal="center" vertical="center"/>
    </xf>
    <xf numFmtId="177" fontId="12" fillId="22" borderId="14" xfId="0" applyNumberFormat="1" applyFont="1" applyFill="1" applyBorder="1" applyAlignment="1">
      <alignment horizontal="center" vertical="center"/>
    </xf>
    <xf numFmtId="177" fontId="6" fillId="23" borderId="8" xfId="0" applyNumberFormat="1" applyFont="1" applyFill="1" applyBorder="1" applyAlignment="1">
      <alignment horizontal="center" vertical="center"/>
    </xf>
    <xf numFmtId="177" fontId="6" fillId="23" borderId="4" xfId="0" applyNumberFormat="1" applyFont="1" applyFill="1" applyBorder="1" applyAlignment="1">
      <alignment horizontal="center" vertical="center"/>
    </xf>
    <xf numFmtId="177" fontId="6" fillId="23" borderId="14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4" borderId="16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/>
    </xf>
    <xf numFmtId="0" fontId="12" fillId="24" borderId="24" xfId="0" applyFont="1" applyFill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 wrapText="1"/>
    </xf>
    <xf numFmtId="0" fontId="12" fillId="24" borderId="1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6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2" fillId="0" borderId="0" xfId="3">
      <alignment vertical="center"/>
    </xf>
    <xf numFmtId="0" fontId="2" fillId="0" borderId="0" xfId="3" applyFill="1">
      <alignment vertical="center"/>
    </xf>
    <xf numFmtId="0" fontId="2" fillId="24" borderId="4" xfId="3" applyFill="1" applyBorder="1">
      <alignment vertical="center"/>
    </xf>
    <xf numFmtId="0" fontId="2" fillId="29" borderId="4" xfId="3" applyFill="1" applyBorder="1">
      <alignment vertical="center"/>
    </xf>
    <xf numFmtId="0" fontId="2" fillId="27" borderId="4" xfId="3" applyFill="1" applyBorder="1">
      <alignment vertical="center"/>
    </xf>
    <xf numFmtId="0" fontId="2" fillId="28" borderId="4" xfId="3" applyFill="1" applyBorder="1">
      <alignment vertical="center"/>
    </xf>
    <xf numFmtId="0" fontId="2" fillId="0" borderId="4" xfId="3" applyFill="1" applyBorder="1" applyAlignment="1">
      <alignment vertical="center" wrapText="1"/>
    </xf>
    <xf numFmtId="0" fontId="2" fillId="0" borderId="4" xfId="3" applyBorder="1" applyAlignment="1">
      <alignment vertical="center"/>
    </xf>
    <xf numFmtId="177" fontId="2" fillId="0" borderId="4" xfId="3" applyNumberFormat="1" applyFill="1" applyBorder="1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0" fontId="2" fillId="0" borderId="4" xfId="3" applyFill="1" applyBorder="1" applyAlignment="1">
      <alignment horizontal="right" vertical="center" wrapText="1"/>
    </xf>
    <xf numFmtId="178" fontId="2" fillId="0" borderId="4" xfId="3" applyNumberFormat="1" applyBorder="1">
      <alignment vertical="center"/>
    </xf>
    <xf numFmtId="0" fontId="2" fillId="0" borderId="4" xfId="3" applyBorder="1" applyAlignment="1">
      <alignment vertical="center" wrapText="1"/>
    </xf>
    <xf numFmtId="177" fontId="2" fillId="0" borderId="4" xfId="3" applyNumberFormat="1" applyBorder="1">
      <alignment vertical="center"/>
    </xf>
    <xf numFmtId="0" fontId="2" fillId="0" borderId="4" xfId="3" applyBorder="1" applyAlignment="1">
      <alignment horizontal="center" vertical="center" wrapText="1"/>
    </xf>
    <xf numFmtId="0" fontId="2" fillId="0" borderId="4" xfId="3" applyBorder="1" applyAlignment="1">
      <alignment horizontal="right" vertical="center" wrapText="1"/>
    </xf>
    <xf numFmtId="0" fontId="2" fillId="0" borderId="4" xfId="3" applyBorder="1">
      <alignment vertical="center"/>
    </xf>
    <xf numFmtId="179" fontId="0" fillId="0" borderId="4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8" fillId="30" borderId="4" xfId="0" applyFont="1" applyFill="1" applyBorder="1" applyAlignment="1">
      <alignment horizontal="center" vertical="center" wrapText="1"/>
    </xf>
    <xf numFmtId="0" fontId="28" fillId="31" borderId="4" xfId="0" applyFont="1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 vertical="center" wrapText="1"/>
    </xf>
    <xf numFmtId="0" fontId="11" fillId="34" borderId="4" xfId="1" applyFill="1" applyBorder="1" applyAlignment="1" applyProtection="1">
      <alignment vertical="center" wrapText="1"/>
    </xf>
    <xf numFmtId="0" fontId="14" fillId="0" borderId="0" xfId="0" applyFont="1" applyBorder="1">
      <alignment vertical="center"/>
    </xf>
    <xf numFmtId="0" fontId="0" fillId="0" borderId="4" xfId="0" applyFill="1" applyBorder="1">
      <alignment vertical="center"/>
    </xf>
    <xf numFmtId="0" fontId="29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80" fontId="17" fillId="16" borderId="4" xfId="0" applyNumberFormat="1" applyFont="1" applyFill="1" applyBorder="1" applyAlignment="1">
      <alignment horizontal="right" vertical="center" wrapText="1"/>
    </xf>
    <xf numFmtId="180" fontId="17" fillId="0" borderId="4" xfId="0" applyNumberFormat="1" applyFont="1" applyFill="1" applyBorder="1" applyAlignment="1">
      <alignment horizontal="right" vertical="center" wrapText="1"/>
    </xf>
    <xf numFmtId="180" fontId="17" fillId="0" borderId="14" xfId="0" applyNumberFormat="1" applyFont="1" applyFill="1" applyBorder="1" applyAlignment="1">
      <alignment horizontal="right" vertical="center" wrapText="1"/>
    </xf>
    <xf numFmtId="180" fontId="17" fillId="0" borderId="10" xfId="0" applyNumberFormat="1" applyFont="1" applyFill="1" applyBorder="1" applyAlignment="1">
      <alignment horizontal="right" vertical="center" wrapText="1"/>
    </xf>
    <xf numFmtId="180" fontId="17" fillId="0" borderId="15" xfId="0" applyNumberFormat="1" applyFont="1" applyFill="1" applyBorder="1" applyAlignment="1">
      <alignment horizontal="right" vertical="center" wrapText="1"/>
    </xf>
    <xf numFmtId="180" fontId="17" fillId="16" borderId="8" xfId="0" applyNumberFormat="1" applyFont="1" applyFill="1" applyBorder="1" applyAlignment="1">
      <alignment vertical="center" wrapText="1"/>
    </xf>
    <xf numFmtId="180" fontId="17" fillId="0" borderId="8" xfId="0" applyNumberFormat="1" applyFont="1" applyBorder="1" applyAlignment="1">
      <alignment vertical="center" wrapText="1"/>
    </xf>
    <xf numFmtId="180" fontId="17" fillId="0" borderId="9" xfId="0" applyNumberFormat="1" applyFont="1" applyBorder="1" applyAlignment="1">
      <alignment vertical="center" wrapText="1"/>
    </xf>
    <xf numFmtId="180" fontId="17" fillId="0" borderId="13" xfId="0" applyNumberFormat="1" applyFont="1" applyFill="1" applyBorder="1" applyAlignment="1">
      <alignment horizontal="right" vertical="center" wrapText="1"/>
    </xf>
    <xf numFmtId="180" fontId="17" fillId="0" borderId="12" xfId="0" applyNumberFormat="1" applyFont="1" applyFill="1" applyBorder="1" applyAlignment="1">
      <alignment horizontal="right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177" fontId="17" fillId="16" borderId="47" xfId="0" applyNumberFormat="1" applyFont="1" applyFill="1" applyBorder="1" applyAlignment="1">
      <alignment horizontal="right" vertical="center" wrapText="1"/>
    </xf>
    <xf numFmtId="177" fontId="17" fillId="0" borderId="47" xfId="0" applyNumberFormat="1" applyFont="1" applyFill="1" applyBorder="1" applyAlignment="1">
      <alignment horizontal="right" vertical="center" wrapText="1"/>
    </xf>
    <xf numFmtId="177" fontId="17" fillId="0" borderId="48" xfId="0" applyNumberFormat="1" applyFont="1" applyFill="1" applyBorder="1" applyAlignment="1">
      <alignment horizontal="right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46" xfId="0" applyFont="1" applyFill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0" fontId="17" fillId="18" borderId="49" xfId="0" applyFont="1" applyFill="1" applyBorder="1" applyAlignment="1">
      <alignment horizontal="center" vertical="center" wrapText="1"/>
    </xf>
    <xf numFmtId="0" fontId="0" fillId="37" borderId="4" xfId="0" applyFill="1" applyBorder="1" applyAlignment="1">
      <alignment horizontal="center" vertical="center" wrapText="1"/>
    </xf>
    <xf numFmtId="0" fontId="0" fillId="22" borderId="4" xfId="0" applyFill="1" applyBorder="1">
      <alignment vertical="center"/>
    </xf>
    <xf numFmtId="0" fontId="0" fillId="0" borderId="12" xfId="0" applyBorder="1">
      <alignment vertical="center"/>
    </xf>
    <xf numFmtId="0" fontId="0" fillId="0" borderId="50" xfId="0" applyBorder="1">
      <alignment vertical="center"/>
    </xf>
    <xf numFmtId="0" fontId="0" fillId="22" borderId="50" xfId="0" applyFill="1" applyBorder="1">
      <alignment vertical="center"/>
    </xf>
    <xf numFmtId="0" fontId="24" fillId="0" borderId="4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17" fillId="36" borderId="42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180" fontId="17" fillId="16" borderId="51" xfId="0" applyNumberFormat="1" applyFont="1" applyFill="1" applyBorder="1" applyAlignment="1">
      <alignment horizontal="right" vertical="center" wrapText="1"/>
    </xf>
    <xf numFmtId="177" fontId="6" fillId="8" borderId="7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0" fillId="27" borderId="20" xfId="0" applyFill="1" applyBorder="1">
      <alignment vertical="center"/>
    </xf>
    <xf numFmtId="0" fontId="12" fillId="27" borderId="16" xfId="0" applyFont="1" applyFill="1" applyBorder="1" applyAlignment="1">
      <alignment horizontal="center" vertical="center"/>
    </xf>
    <xf numFmtId="0" fontId="12" fillId="27" borderId="7" xfId="0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/>
    </xf>
    <xf numFmtId="0" fontId="12" fillId="27" borderId="19" xfId="0" applyFont="1" applyFill="1" applyBorder="1" applyAlignment="1">
      <alignment horizontal="center" vertical="center"/>
    </xf>
    <xf numFmtId="0" fontId="12" fillId="28" borderId="16" xfId="0" applyFont="1" applyFill="1" applyBorder="1" applyAlignment="1">
      <alignment horizontal="center" vertical="center"/>
    </xf>
    <xf numFmtId="0" fontId="12" fillId="28" borderId="7" xfId="0" applyFont="1" applyFill="1" applyBorder="1" applyAlignment="1">
      <alignment horizontal="center" vertical="center"/>
    </xf>
    <xf numFmtId="0" fontId="12" fillId="28" borderId="24" xfId="0" applyFont="1" applyFill="1" applyBorder="1" applyAlignment="1">
      <alignment horizontal="center" vertical="center"/>
    </xf>
    <xf numFmtId="0" fontId="12" fillId="28" borderId="11" xfId="0" applyFont="1" applyFill="1" applyBorder="1" applyAlignment="1">
      <alignment horizontal="center" vertical="center"/>
    </xf>
    <xf numFmtId="0" fontId="12" fillId="28" borderId="7" xfId="0" applyFont="1" applyFill="1" applyBorder="1" applyAlignment="1">
      <alignment horizontal="center" vertical="center" wrapText="1"/>
    </xf>
    <xf numFmtId="0" fontId="12" fillId="28" borderId="19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2" fillId="22" borderId="20" xfId="0" applyFont="1" applyFill="1" applyBorder="1" applyAlignment="1">
      <alignment horizontal="center" vertical="center"/>
    </xf>
    <xf numFmtId="0" fontId="12" fillId="25" borderId="20" xfId="0" applyFont="1" applyFill="1" applyBorder="1">
      <alignment vertical="center"/>
    </xf>
    <xf numFmtId="0" fontId="12" fillId="25" borderId="7" xfId="0" applyFont="1" applyFill="1" applyBorder="1">
      <alignment vertical="center"/>
    </xf>
    <xf numFmtId="177" fontId="6" fillId="8" borderId="11" xfId="0" applyNumberFormat="1" applyFont="1" applyFill="1" applyBorder="1" applyAlignment="1">
      <alignment horizontal="center" vertical="center"/>
    </xf>
    <xf numFmtId="177" fontId="6" fillId="35" borderId="52" xfId="0" applyNumberFormat="1" applyFont="1" applyFill="1" applyBorder="1" applyAlignment="1">
      <alignment horizontal="center" vertical="center"/>
    </xf>
    <xf numFmtId="177" fontId="6" fillId="35" borderId="7" xfId="0" applyNumberFormat="1" applyFont="1" applyFill="1" applyBorder="1" applyAlignment="1">
      <alignment horizontal="center" vertical="center"/>
    </xf>
    <xf numFmtId="177" fontId="6" fillId="35" borderId="19" xfId="0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24" fillId="0" borderId="14" xfId="0" applyFont="1" applyBorder="1">
      <alignment vertical="center"/>
    </xf>
    <xf numFmtId="0" fontId="0" fillId="22" borderId="14" xfId="0" applyFill="1" applyBorder="1">
      <alignment vertical="center"/>
    </xf>
    <xf numFmtId="0" fontId="0" fillId="0" borderId="13" xfId="0" applyBorder="1">
      <alignment vertical="center"/>
    </xf>
    <xf numFmtId="0" fontId="0" fillId="0" borderId="53" xfId="0" applyBorder="1">
      <alignment vertical="center"/>
    </xf>
    <xf numFmtId="0" fontId="12" fillId="24" borderId="20" xfId="0" applyFont="1" applyFill="1" applyBorder="1">
      <alignment vertical="center"/>
    </xf>
    <xf numFmtId="0" fontId="12" fillId="24" borderId="7" xfId="0" applyFont="1" applyFill="1" applyBorder="1">
      <alignment vertical="center"/>
    </xf>
    <xf numFmtId="0" fontId="12" fillId="24" borderId="19" xfId="0" applyFont="1" applyFill="1" applyBorder="1">
      <alignment vertical="center"/>
    </xf>
    <xf numFmtId="0" fontId="14" fillId="16" borderId="20" xfId="0" applyFont="1" applyFill="1" applyBorder="1" applyAlignment="1">
      <alignment horizontal="center" vertical="center"/>
    </xf>
    <xf numFmtId="0" fontId="14" fillId="16" borderId="19" xfId="0" applyFont="1" applyFill="1" applyBorder="1" applyAlignment="1">
      <alignment horizontal="center" vertical="center"/>
    </xf>
    <xf numFmtId="0" fontId="14" fillId="16" borderId="9" xfId="0" applyFont="1" applyFill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4" fillId="16" borderId="29" xfId="0" applyFont="1" applyFill="1" applyBorder="1" applyAlignment="1">
      <alignment horizontal="center" vertical="center"/>
    </xf>
    <xf numFmtId="0" fontId="14" fillId="16" borderId="30" xfId="0" applyFont="1" applyFill="1" applyBorder="1" applyAlignment="1">
      <alignment horizontal="center" vertical="center"/>
    </xf>
    <xf numFmtId="0" fontId="14" fillId="16" borderId="31" xfId="0" applyFont="1" applyFill="1" applyBorder="1" applyAlignment="1">
      <alignment horizontal="center" vertical="center"/>
    </xf>
    <xf numFmtId="0" fontId="14" fillId="16" borderId="32" xfId="0" applyFont="1" applyFill="1" applyBorder="1" applyAlignment="1">
      <alignment horizontal="center" vertical="center"/>
    </xf>
    <xf numFmtId="0" fontId="12" fillId="22" borderId="7" xfId="0" applyFont="1" applyFill="1" applyBorder="1" applyAlignment="1">
      <alignment horizontal="center" vertical="center"/>
    </xf>
    <xf numFmtId="0" fontId="12" fillId="22" borderId="1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6" fillId="21" borderId="20" xfId="0" applyNumberFormat="1" applyFont="1" applyFill="1" applyBorder="1" applyAlignment="1">
      <alignment horizontal="center" vertical="center"/>
    </xf>
    <xf numFmtId="177" fontId="6" fillId="21" borderId="7" xfId="0" applyNumberFormat="1" applyFont="1" applyFill="1" applyBorder="1" applyAlignment="1">
      <alignment horizontal="center" vertical="center"/>
    </xf>
    <xf numFmtId="177" fontId="6" fillId="21" borderId="19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77" fontId="12" fillId="22" borderId="20" xfId="0" applyNumberFormat="1" applyFont="1" applyFill="1" applyBorder="1" applyAlignment="1">
      <alignment horizontal="center" vertical="center"/>
    </xf>
    <xf numFmtId="177" fontId="12" fillId="22" borderId="7" xfId="0" applyNumberFormat="1" applyFont="1" applyFill="1" applyBorder="1" applyAlignment="1">
      <alignment horizontal="center" vertical="center"/>
    </xf>
    <xf numFmtId="177" fontId="12" fillId="22" borderId="19" xfId="0" applyNumberFormat="1" applyFont="1" applyFill="1" applyBorder="1" applyAlignment="1">
      <alignment horizontal="center" vertical="center"/>
    </xf>
    <xf numFmtId="177" fontId="12" fillId="11" borderId="20" xfId="0" applyNumberFormat="1" applyFont="1" applyFill="1" applyBorder="1" applyAlignment="1">
      <alignment horizontal="center" vertical="center"/>
    </xf>
    <xf numFmtId="177" fontId="12" fillId="11" borderId="7" xfId="0" applyNumberFormat="1" applyFont="1" applyFill="1" applyBorder="1" applyAlignment="1">
      <alignment horizontal="center" vertical="center"/>
    </xf>
    <xf numFmtId="177" fontId="12" fillId="11" borderId="19" xfId="0" applyNumberFormat="1" applyFont="1" applyFill="1" applyBorder="1" applyAlignment="1">
      <alignment horizontal="center" vertical="center"/>
    </xf>
    <xf numFmtId="177" fontId="6" fillId="12" borderId="20" xfId="0" applyNumberFormat="1" applyFont="1" applyFill="1" applyBorder="1" applyAlignment="1">
      <alignment horizontal="center" vertical="center"/>
    </xf>
    <xf numFmtId="177" fontId="6" fillId="12" borderId="7" xfId="0" applyNumberFormat="1" applyFont="1" applyFill="1" applyBorder="1" applyAlignment="1">
      <alignment horizontal="center" vertical="center"/>
    </xf>
    <xf numFmtId="177" fontId="6" fillId="12" borderId="19" xfId="0" applyNumberFormat="1" applyFont="1" applyFill="1" applyBorder="1" applyAlignment="1">
      <alignment horizontal="center" vertical="center"/>
    </xf>
    <xf numFmtId="177" fontId="6" fillId="23" borderId="20" xfId="0" applyNumberFormat="1" applyFont="1" applyFill="1" applyBorder="1" applyAlignment="1">
      <alignment horizontal="center" vertical="center"/>
    </xf>
    <xf numFmtId="177" fontId="6" fillId="23" borderId="7" xfId="0" applyNumberFormat="1" applyFont="1" applyFill="1" applyBorder="1" applyAlignment="1">
      <alignment horizontal="center" vertical="center"/>
    </xf>
    <xf numFmtId="177" fontId="6" fillId="23" borderId="19" xfId="0" applyNumberFormat="1" applyFont="1" applyFill="1" applyBorder="1" applyAlignment="1">
      <alignment horizontal="center" vertical="center"/>
    </xf>
    <xf numFmtId="177" fontId="6" fillId="8" borderId="20" xfId="0" applyNumberFormat="1" applyFont="1" applyFill="1" applyBorder="1" applyAlignment="1">
      <alignment horizontal="center" vertical="center"/>
    </xf>
    <xf numFmtId="177" fontId="6" fillId="8" borderId="7" xfId="0" applyNumberFormat="1" applyFont="1" applyFill="1" applyBorder="1" applyAlignment="1">
      <alignment horizontal="center" vertical="center"/>
    </xf>
    <xf numFmtId="177" fontId="6" fillId="8" borderId="19" xfId="0" applyNumberFormat="1" applyFont="1" applyFill="1" applyBorder="1" applyAlignment="1">
      <alignment horizontal="center" vertical="center"/>
    </xf>
    <xf numFmtId="0" fontId="12" fillId="36" borderId="43" xfId="0" applyFont="1" applyFill="1" applyBorder="1" applyAlignment="1">
      <alignment horizontal="center" vertical="center"/>
    </xf>
    <xf numFmtId="0" fontId="12" fillId="36" borderId="44" xfId="0" applyFont="1" applyFill="1" applyBorder="1" applyAlignment="1">
      <alignment horizontal="center" vertical="center"/>
    </xf>
    <xf numFmtId="0" fontId="12" fillId="36" borderId="4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2" fillId="0" borderId="41" xfId="3" applyBorder="1" applyAlignment="1">
      <alignment horizontal="center" vertical="center"/>
    </xf>
    <xf numFmtId="0" fontId="26" fillId="0" borderId="0" xfId="0" applyFont="1" applyFill="1">
      <alignment vertical="center"/>
    </xf>
    <xf numFmtId="0" fontId="1" fillId="24" borderId="4" xfId="3" applyFont="1" applyFill="1" applyBorder="1">
      <alignment vertical="center"/>
    </xf>
    <xf numFmtId="0" fontId="30" fillId="0" borderId="0" xfId="0" applyFont="1" applyFill="1">
      <alignment vertical="center"/>
    </xf>
  </cellXfs>
  <cellStyles count="4">
    <cellStyle name="ハイパーリンク" xfId="1" builtinId="8"/>
    <cellStyle name="悪い" xfId="2" builtinId="27" hidden="1"/>
    <cellStyle name="標準" xfId="0" builtinId="0"/>
    <cellStyle name="標準 2" xfId="3"/>
  </cellStyles>
  <dxfs count="45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66FF33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66"/>
      <color rgb="FFFF6699"/>
      <color rgb="FF66FF33"/>
      <color rgb="FFF1FC88"/>
      <color rgb="FFE2F03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mp.swiki.jp/index.php?%E3%83%A2%E3%83%B3%E3%82%B9%E3%82%BF%E3%83%BC%2F%E3%83%89%E3%83%AB%E3%82%A4%E3%83%89" TargetMode="External"/><Relationship Id="rId117" Type="http://schemas.openxmlformats.org/officeDocument/2006/relationships/hyperlink" Target="http://mp.swiki.jp/index.php?%E3%83%A2%E3%83%B3%E3%82%B9%E3%82%BF%E3%83%BC%2F%E3%83%99%E3%82%B9%E3%83%8E%E3%82%B6%E3%81%AE%E3%81%A4%E3%81%8B%E3%81%84" TargetMode="External"/><Relationship Id="rId21" Type="http://schemas.openxmlformats.org/officeDocument/2006/relationships/hyperlink" Target="http://mp.swiki.jp/index.php?%E3%83%A2%E3%83%B3%E3%82%B9%E3%82%BF%E3%83%BC%2F%E3%82%8F%E3%82%89%E3%81%84%E3%81%B6%E3%81%8F%E3%82%8D" TargetMode="External"/><Relationship Id="rId42" Type="http://schemas.openxmlformats.org/officeDocument/2006/relationships/hyperlink" Target="http://mp.swiki.jp/index.php?%E3%83%A2%E3%83%B3%E3%82%B9%E3%82%BF%E3%83%BC%2F%E3%82%B5%E3%83%9C%E3%83%86%E3%83%B3%E3%83%9C%E3%83%BC%E3%83%AB" TargetMode="External"/><Relationship Id="rId47" Type="http://schemas.openxmlformats.org/officeDocument/2006/relationships/hyperlink" Target="http://mp.swiki.jp/index.php?%E3%83%A2%E3%83%B3%E3%82%B9%E3%82%BF%E3%83%BC%2F%E3%83%96%E3%83%A9%E3%82%A6%E3%83%8B%E3%83%BC" TargetMode="External"/><Relationship Id="rId63" Type="http://schemas.openxmlformats.org/officeDocument/2006/relationships/hyperlink" Target="http://mp.swiki.jp/index.php?%E3%83%A2%E3%83%B3%E3%82%B9%E3%82%BF%E3%83%BC%2F%E3%83%A1%E3%82%A4%E3%82%B8%E3%83%89%E3%83%A9%E3%82%AD%E3%83%BC" TargetMode="External"/><Relationship Id="rId68" Type="http://schemas.openxmlformats.org/officeDocument/2006/relationships/hyperlink" Target="http://mp.swiki.jp/index.php?%E3%83%A2%E3%83%B3%E3%82%B9%E3%82%BF%E3%83%BC%2F%E3%83%9E%E3%83%89%E3%83%8F%E3%83%B3%E3%83%89" TargetMode="External"/><Relationship Id="rId84" Type="http://schemas.openxmlformats.org/officeDocument/2006/relationships/hyperlink" Target="http://mp.swiki.jp/index.php?%E3%83%A2%E3%83%B3%E3%82%B9%E3%82%BF%E3%83%BC%2F%E3%83%80%E3%83%B3%E3%82%B9%E3%83%8B%E3%83%BC%E3%83%89%E3%83%AB" TargetMode="External"/><Relationship Id="rId89" Type="http://schemas.openxmlformats.org/officeDocument/2006/relationships/hyperlink" Target="http://mp.swiki.jp/index.php?%E3%83%A2%E3%83%B3%E3%82%B9%E3%82%BF%E3%83%BC%2F%E3%82%B8%E3%83%A3%E3%82%AC%E3%83%BC%E3%83%A1%E3%82%A4%E3%82%B8" TargetMode="External"/><Relationship Id="rId112" Type="http://schemas.openxmlformats.org/officeDocument/2006/relationships/hyperlink" Target="http://mp.swiki.jp/index.php?%E3%83%A2%E3%83%B3%E3%82%B9%E3%82%BF%E3%83%BC%2F%E3%83%9E%E3%83%8D%E3%83%9E%E3%83%8D" TargetMode="External"/><Relationship Id="rId133" Type="http://schemas.openxmlformats.org/officeDocument/2006/relationships/hyperlink" Target="http://mp.swiki.jp/index.php?%E3%83%A2%E3%83%B3%E3%82%B9%E3%82%BF%E3%83%BC%2F%E3%83%9F%E3%83%8B%E3%81%84%E3%81%A3%E3%81%8B%E3%81%8F%E3%82%A6%E3%82%B5%E3%82%AE" TargetMode="External"/><Relationship Id="rId138" Type="http://schemas.openxmlformats.org/officeDocument/2006/relationships/hyperlink" Target="http://mp.swiki.jp/index.php?%E3%83%A2%E3%83%B3%E3%82%B9%E3%82%BF%E3%83%BC%2F%E3%83%9F%E3%83%8B%E3%81%84%E3%81%9F%E3%81%9A%E3%82%89%E3%82%82%E3%81%90%E3%82%89" TargetMode="External"/><Relationship Id="rId154" Type="http://schemas.openxmlformats.org/officeDocument/2006/relationships/hyperlink" Target="http://mp.swiki.jp/index.php?%E3%83%A2%E3%83%B3%E3%82%B9%E3%82%BF%E3%83%BC%2F%E3%83%90%E3%82%A2%E3%83%A9%E3%83%83%E3%82%AF" TargetMode="External"/><Relationship Id="rId16" Type="http://schemas.openxmlformats.org/officeDocument/2006/relationships/hyperlink" Target="http://mp.swiki.jp/index.php?%E3%83%A2%E3%83%B3%E3%82%B9%E3%82%BF%E3%83%BC%2F%E3%81%AD%E3%81%93%E3%81%BE%E3%81%A9%E3%81%86" TargetMode="External"/><Relationship Id="rId107" Type="http://schemas.openxmlformats.org/officeDocument/2006/relationships/hyperlink" Target="http://mp.swiki.jp/index.php?%E3%83%A2%E3%83%B3%E3%82%B9%E3%82%BF%E3%83%BC%2F%E3%81%82%E3%81%8F%E3%81%BE%E3%81%97%E3%82%93%E3%81%8B%E3%82%93" TargetMode="External"/><Relationship Id="rId11" Type="http://schemas.openxmlformats.org/officeDocument/2006/relationships/hyperlink" Target="http://mp.swiki.jp/index.php?%E3%83%A2%E3%83%B3%E3%82%B9%E3%82%BF%E3%83%BC%2F%E3%81%84%E3%81%A3%E3%81%8B%E3%81%8F%E3%81%86%E3%81%95%E3%81%8E" TargetMode="External"/><Relationship Id="rId32" Type="http://schemas.openxmlformats.org/officeDocument/2006/relationships/hyperlink" Target="http://mp.swiki.jp/index.php?%E3%83%A2%E3%83%B3%E3%82%B9%E3%82%BF%E3%83%BC%2F%E3%81%A4%E3%81%A1%E3%82%8F%E3%82%89%E3%81%97" TargetMode="External"/><Relationship Id="rId37" Type="http://schemas.openxmlformats.org/officeDocument/2006/relationships/hyperlink" Target="http://mp.swiki.jp/index.php?%E3%83%A2%E3%83%B3%E3%82%B9%E3%82%BF%E3%83%BC%2F%E3%82%B9%E3%83%A9%E3%82%A4%E3%83%A0%E3%82%BF%E3%83%AF%E3%83%BC" TargetMode="External"/><Relationship Id="rId53" Type="http://schemas.openxmlformats.org/officeDocument/2006/relationships/hyperlink" Target="http://mp.swiki.jp/index.php?%E3%83%A2%E3%83%B3%E3%82%B9%E3%82%BF%E3%83%BC%2F%E3%81%92%E3%82%93%E3%81%98%E3%82%85%E3%81%A4%E3%81%97" TargetMode="External"/><Relationship Id="rId58" Type="http://schemas.openxmlformats.org/officeDocument/2006/relationships/hyperlink" Target="http://mp.swiki.jp/index.php?%E3%83%A2%E3%83%B3%E3%82%B9%E3%82%BF%E3%83%BC%2F%E3%82%B4%E3%83%BC%E3%83%AC%E3%83%A0" TargetMode="External"/><Relationship Id="rId74" Type="http://schemas.openxmlformats.org/officeDocument/2006/relationships/hyperlink" Target="http://mp.swiki.jp/index.php?%E3%83%A2%E3%83%B3%E3%82%B9%E3%82%BF%E3%83%BC%2F%E3%83%9C%E3%83%BC%E3%83%B3%E3%83%8A%E3%82%A4%E3%83%88" TargetMode="External"/><Relationship Id="rId79" Type="http://schemas.openxmlformats.org/officeDocument/2006/relationships/hyperlink" Target="http://mp.swiki.jp/index.php?%E3%83%A2%E3%83%B3%E3%82%B9%E3%82%BF%E3%83%BC%2F%E3%82%B9%E3%83%A9%E3%82%A4%E3%83%A0%E3%83%99%E3%83%9B%E3%83%9E%E3%82%BA%E3%83%B3" TargetMode="External"/><Relationship Id="rId102" Type="http://schemas.openxmlformats.org/officeDocument/2006/relationships/hyperlink" Target="http://mp.swiki.jp/index.php?%E3%83%A2%E3%83%B3%E3%82%B9%E3%82%BF%E3%83%BC%2F%E3%82%BF%E3%83%83%E3%83%97%E3%83%87%E3%83%93%E3%83%AB" TargetMode="External"/><Relationship Id="rId123" Type="http://schemas.openxmlformats.org/officeDocument/2006/relationships/hyperlink" Target="http://mp.swiki.jp/index.php?%E3%83%A2%E3%83%B3%E3%82%B9%E3%82%BF%E3%83%BC%2F%E3%83%88%E3%83%B3%E3%83%96%E3%83%AC%E3%83%AD" TargetMode="External"/><Relationship Id="rId128" Type="http://schemas.openxmlformats.org/officeDocument/2006/relationships/hyperlink" Target="http://mp.swiki.jp/index.php?%E3%83%A2%E3%83%B3%E3%82%B9%E3%82%BF%E3%83%BC%2F%E3%83%9F%E3%83%8B%E3%82%B9%E3%83%A9%E3%82%A4%E3%83%A0%E3%83%8A%E3%82%A4%E3%83%88" TargetMode="External"/><Relationship Id="rId144" Type="http://schemas.openxmlformats.org/officeDocument/2006/relationships/hyperlink" Target="http://mp.swiki.jp/index.php?%E3%83%A2%E3%83%B3%E3%82%B9%E3%82%BF%E3%83%BC%2F%E3%83%9F%E3%83%8B%E3%83%AA%E3%83%83%E3%83%97%E3%82%B9" TargetMode="External"/><Relationship Id="rId149" Type="http://schemas.openxmlformats.org/officeDocument/2006/relationships/hyperlink" Target="http://mp.swiki.jp/index.php?%E3%83%A2%E3%83%B3%E3%82%B9%E3%82%BF%E3%83%BC%2F%E3%83%9E%E3%83%83%E3%83%89%E3%83%97%E3%83%A9%E3%83%B3%E3%83%88" TargetMode="External"/><Relationship Id="rId5" Type="http://schemas.openxmlformats.org/officeDocument/2006/relationships/hyperlink" Target="http://mp.swiki.jp/index.php?%E3%83%A2%E3%83%B3%E3%82%B9%E3%82%BF%E3%83%BC%2F%E3%81%97%E3%81%B3%E3%82%8C%E3%81%8F%E3%82%89%E3%81%92" TargetMode="External"/><Relationship Id="rId90" Type="http://schemas.openxmlformats.org/officeDocument/2006/relationships/hyperlink" Target="http://mp.swiki.jp/index.php?%E3%83%A2%E3%83%B3%E3%82%B9%E3%82%BF%E3%83%BC%2F%E3%83%94%E3%83%B3%E3%82%AF%E3%83%A2%E3%83%BC%E3%83%A2%E3%83%B3" TargetMode="External"/><Relationship Id="rId95" Type="http://schemas.openxmlformats.org/officeDocument/2006/relationships/hyperlink" Target="http://mp.swiki.jp/index.php?%E3%83%A2%E3%83%B3%E3%82%B9%E3%82%BF%E3%83%BC%2F%E3%83%93%E3%83%83%E3%82%B0%E3%83%95%E3%82%A7%E3%82%A4%E3%82%B9" TargetMode="External"/><Relationship Id="rId22" Type="http://schemas.openxmlformats.org/officeDocument/2006/relationships/hyperlink" Target="http://mp.swiki.jp/index.php?%E3%83%A2%E3%83%B3%E3%82%B9%E3%82%BF%E3%83%BC%2F%E3%82%B9%E3%83%9E%E3%82%A4%E3%83%AB%E3%83%AD%E3%83%83%E3%82%AF" TargetMode="External"/><Relationship Id="rId27" Type="http://schemas.openxmlformats.org/officeDocument/2006/relationships/hyperlink" Target="http://mp.swiki.jp/index.php?%E3%83%A2%E3%83%B3%E3%82%B9%E3%82%BF%E3%83%BC%2F%E3%81%8A%E3%81%8A%E3%82%81%E3%81%A0%E3%81%BE" TargetMode="External"/><Relationship Id="rId43" Type="http://schemas.openxmlformats.org/officeDocument/2006/relationships/hyperlink" Target="http://mp.swiki.jp/index.php?%E3%83%A2%E3%83%B3%E3%82%B9%E3%82%BF%E3%83%BC%2F%E3%81%B6%E3%81%A3%E3%81%A1%E3%82%BA%E3%82%AD%E3%83%BC%E3%83%8B%E3%83%A3" TargetMode="External"/><Relationship Id="rId48" Type="http://schemas.openxmlformats.org/officeDocument/2006/relationships/hyperlink" Target="http://mp.swiki.jp/index.php?%E3%83%A2%E3%83%B3%E3%82%B9%E3%82%BF%E3%83%BC%2F%E3%82%AD%E3%83%A9%E3%83%BC%E3%82%B9%E3%82%B3%E3%83%83%E3%83%97" TargetMode="External"/><Relationship Id="rId64" Type="http://schemas.openxmlformats.org/officeDocument/2006/relationships/hyperlink" Target="http://mp.swiki.jp/index.php?%E3%83%A2%E3%83%B3%E3%82%B9%E3%82%BF%E3%83%BC%2F%E3%81%A4%E3%81%8B%E3%81%84%E3%81%BE" TargetMode="External"/><Relationship Id="rId69" Type="http://schemas.openxmlformats.org/officeDocument/2006/relationships/hyperlink" Target="http://mp.swiki.jp/index.php?%E3%83%A2%E3%83%B3%E3%82%B9%E3%82%BF%E3%83%BC%2F%E3%81%8F%E3%81%95%E3%81%A3%E3%81%9F%E6%AD%BB%E4%BD%93" TargetMode="External"/><Relationship Id="rId113" Type="http://schemas.openxmlformats.org/officeDocument/2006/relationships/hyperlink" Target="http://mp.swiki.jp/index.php?%E3%83%A2%E3%83%B3%E3%82%B9%E3%82%BF%E3%83%BC%2F%E3%83%9E%E3%83%BC%E3%82%B8%E3%83%9E%E3%82%BF%E3%83%B3%E3%82%B4" TargetMode="External"/><Relationship Id="rId118" Type="http://schemas.openxmlformats.org/officeDocument/2006/relationships/hyperlink" Target="http://mp.swiki.jp/index.php?%E3%83%A2%E3%83%B3%E3%82%B9%E3%82%BF%E3%83%BC%2F%E5%A4%A2%E9%AD%94%E3%83%99%E3%82%B9%E3%83%8E%E3%82%B6" TargetMode="External"/><Relationship Id="rId134" Type="http://schemas.openxmlformats.org/officeDocument/2006/relationships/hyperlink" Target="http://mp.swiki.jp/index.php?%E3%83%A2%E3%83%B3%E3%82%B9%E3%82%BF%E3%83%BC%2F%E3%83%9F%E3%83%8B%E3%83%99%E3%83%93%E3%83%BC%E3%83%91%E3%83%B3%E3%82%B5%E3%83%BC" TargetMode="External"/><Relationship Id="rId139" Type="http://schemas.openxmlformats.org/officeDocument/2006/relationships/hyperlink" Target="http://mp.swiki.jp/index.php?%E3%83%A2%E3%83%B3%E3%82%B9%E3%82%BF%E3%83%BC%2F%E3%83%9F%E3%83%8B%E3%82%8F%E3%82%89%E3%81%84%E3%81%B6%E3%81%8F%E3%82%8D" TargetMode="External"/><Relationship Id="rId80" Type="http://schemas.openxmlformats.org/officeDocument/2006/relationships/hyperlink" Target="http://mp.swiki.jp/index.php?%E3%83%A2%E3%83%B3%E3%82%B9%E3%82%BF%E3%83%BC%2F%E3%83%A1%E3%82%BF%E3%83%AB%E3%83%96%E3%83%A9%E3%82%B6%E3%83%BC%E3%82%BA" TargetMode="External"/><Relationship Id="rId85" Type="http://schemas.openxmlformats.org/officeDocument/2006/relationships/hyperlink" Target="http://mp.swiki.jp/index.php?%E3%83%A2%E3%83%B3%E3%82%B9%E3%82%BF%E3%83%BC%2F%E3%83%99%E3%83%AD%E3%83%8B%E3%83%A3%E3%83%BC%E3%82%B4" TargetMode="External"/><Relationship Id="rId150" Type="http://schemas.openxmlformats.org/officeDocument/2006/relationships/hyperlink" Target="http://mp.swiki.jp/index.php?%E3%83%A2%E3%83%B3%E3%82%B9%E3%82%BF%E3%83%BC%2F%E3%81%90%E3%82%93%E3%81%9F%E3%81%84%E3%82%AC%E3%83%8B" TargetMode="External"/><Relationship Id="rId155" Type="http://schemas.openxmlformats.org/officeDocument/2006/relationships/hyperlink" Target="http://mp.swiki.jp/index.php?%E3%83%A2%E3%83%B3%E3%82%B9%E3%82%BF%E3%83%BC%2F%E3%83%9F%E3%83%8B%E3%81%97%E3%81%BE%E3%81%97%E3%81%BE%E3%82%AD%E3%83%A3%E3%83%83%E3%83%88" TargetMode="External"/><Relationship Id="rId12" Type="http://schemas.openxmlformats.org/officeDocument/2006/relationships/hyperlink" Target="http://mp.swiki.jp/index.php?%E3%83%A2%E3%83%B3%E3%82%B9%E3%82%BF%E3%83%BC%2F%E3%83%99%E3%83%93%E3%83%BC%E3%83%91%E3%83%B3%E3%82%B5%E3%83%BC" TargetMode="External"/><Relationship Id="rId17" Type="http://schemas.openxmlformats.org/officeDocument/2006/relationships/hyperlink" Target="http://mp.swiki.jp/index.php?%E3%83%A2%E3%83%B3%E3%82%B9%E3%82%BF%E3%83%BC%2F%E3%81%8A%E3%81%8A%E3%81%8D%E3%81%A5%E3%81%A1" TargetMode="External"/><Relationship Id="rId25" Type="http://schemas.openxmlformats.org/officeDocument/2006/relationships/hyperlink" Target="http://mp.swiki.jp/index.php?%E3%83%A2%E3%83%B3%E3%82%B9%E3%82%BF%E3%83%BC%2F%E3%83%99%E3%83%93%E3%83%BC%E3%82%B5%E3%82%BF%E3%83%B3" TargetMode="External"/><Relationship Id="rId33" Type="http://schemas.openxmlformats.org/officeDocument/2006/relationships/hyperlink" Target="http://mp.swiki.jp/index.php?%E3%83%A2%E3%83%B3%E3%82%B9%E3%82%BF%E3%83%BC%2F%E3%81%8A%E3%81%B0%E3%81%91%E3%82%AD%E3%83%A3%E3%83%B3%E3%83%89%E3%83%AB" TargetMode="External"/><Relationship Id="rId38" Type="http://schemas.openxmlformats.org/officeDocument/2006/relationships/hyperlink" Target="http://mp.swiki.jp/index.php?%E3%83%A2%E3%83%B3%E3%82%B9%E3%82%BF%E3%83%BC%2F%E3%83%99%E3%83%9B%E3%82%A4%E3%83%9F%E3%82%B9%E3%83%A9%E3%82%A4%E3%83%A0" TargetMode="External"/><Relationship Id="rId46" Type="http://schemas.openxmlformats.org/officeDocument/2006/relationships/hyperlink" Target="http://mp.swiki.jp/index.php?%E3%83%A2%E3%83%B3%E3%82%B9%E3%82%BF%E3%83%BC%2F%E3%82%A2%E3%83%AD%E3%83%BC%E3%82%A4%E3%83%B3%E3%83%97" TargetMode="External"/><Relationship Id="rId59" Type="http://schemas.openxmlformats.org/officeDocument/2006/relationships/hyperlink" Target="http://mp.swiki.jp/index.php?%E3%83%A2%E3%83%B3%E3%82%B9%E3%82%BF%E3%83%BC%2F%E3%83%AA%E3%83%83%E3%83%97%E3%82%B9" TargetMode="External"/><Relationship Id="rId67" Type="http://schemas.openxmlformats.org/officeDocument/2006/relationships/hyperlink" Target="http://mp.swiki.jp/index.php?%E3%83%A2%E3%83%B3%E3%82%B9%E3%82%BF%E3%83%BC%2F%E3%82%88%E3%81%86%E3%81%98%E3%82%85%E3%81%A4%E3%81%97" TargetMode="External"/><Relationship Id="rId103" Type="http://schemas.openxmlformats.org/officeDocument/2006/relationships/hyperlink" Target="http://mp.swiki.jp/index.php?%E3%83%A2%E3%83%B3%E3%82%B9%E3%82%BF%E3%83%BC%2F%E3%82%B9%E3%83%9A%E3%82%AF%E3%83%86%E3%83%83%E3%83%88" TargetMode="External"/><Relationship Id="rId108" Type="http://schemas.openxmlformats.org/officeDocument/2006/relationships/hyperlink" Target="http://mp.swiki.jp/index.php?%E3%83%A2%E3%83%B3%E3%82%B9%E3%82%BF%E3%83%BC%2F%E3%82%AE%E3%82%AC%E3%83%B3%E3%83%86%E3%82%B9" TargetMode="External"/><Relationship Id="rId116" Type="http://schemas.openxmlformats.org/officeDocument/2006/relationships/hyperlink" Target="http://mp.swiki.jp/index.php?%E3%83%A2%E3%83%B3%E3%82%B9%E3%82%BF%E3%83%BC%2F%E3%81%98%E3%81%94%E3%81%8F%E3%81%AE%E3%82%88%E3%82%8D%E3%81%84" TargetMode="External"/><Relationship Id="rId124" Type="http://schemas.openxmlformats.org/officeDocument/2006/relationships/hyperlink" Target="http://mp.swiki.jp/index.php?%E3%83%A2%E3%83%B3%E3%82%B9%E3%82%BF%E3%83%BC%2F%E3%81%AF%E3%81%90%E3%82%8C%E3%83%A1%E3%82%BF%E3%83%AB" TargetMode="External"/><Relationship Id="rId129" Type="http://schemas.openxmlformats.org/officeDocument/2006/relationships/hyperlink" Target="http://mp.swiki.jp/index.php?%E3%83%A2%E3%83%B3%E3%82%B9%E3%82%BF%E3%83%BC%2F%E3%83%9F%E3%83%8B%E3%82%B9%E3%83%A9%E3%82%A4%E3%83%A0%E3%82%BF%E3%83%AF%E3%83%BC" TargetMode="External"/><Relationship Id="rId137" Type="http://schemas.openxmlformats.org/officeDocument/2006/relationships/hyperlink" Target="http://mp.swiki.jp/index.php?%E3%83%A2%E3%83%B3%E3%82%B9%E3%82%BF%E3%83%BC%2F%E3%83%9F%E3%83%8B%E3%83%A2%E3%83%BC%E3%83%A2%E3%83%B3" TargetMode="External"/><Relationship Id="rId20" Type="http://schemas.openxmlformats.org/officeDocument/2006/relationships/hyperlink" Target="http://mp.swiki.jp/index.php?%E3%83%A2%E3%83%B3%E3%82%B9%E3%82%BF%E3%83%BC%2F%E3%81%84%E3%81%9F%E3%81%9A%E3%82%89%E3%82%82%E3%81%90%E3%82%89" TargetMode="External"/><Relationship Id="rId41" Type="http://schemas.openxmlformats.org/officeDocument/2006/relationships/hyperlink" Target="http://mp.swiki.jp/index.php?%E3%83%A2%E3%83%B3%E3%82%B9%E3%82%BF%E3%83%BC%2F%E3%83%89%E3%83%A9%E3%82%B4%E3%83%B3%E3%82%AD%E3%83%83%E3%82%BA" TargetMode="External"/><Relationship Id="rId54" Type="http://schemas.openxmlformats.org/officeDocument/2006/relationships/hyperlink" Target="http://mp.swiki.jp/index.php?%E3%83%A2%E3%83%B3%E3%82%B9%E3%82%BF%E3%83%BC%2F%E3%81%82%E3%82%84%E3%81%97%E3%81%84%E3%81%8B%E3%81%92" TargetMode="External"/><Relationship Id="rId62" Type="http://schemas.openxmlformats.org/officeDocument/2006/relationships/hyperlink" Target="http://mp.swiki.jp/index.php?%E3%83%A2%E3%83%B3%E3%82%B9%E3%82%BF%E3%83%BC%2F%E3%83%94%E3%82%AF%E3%82%B7%E3%83%BC" TargetMode="External"/><Relationship Id="rId70" Type="http://schemas.openxmlformats.org/officeDocument/2006/relationships/hyperlink" Target="http://mp.swiki.jp/index.php?%E3%83%A2%E3%83%B3%E3%82%B9%E3%82%BF%E3%83%BC%2F%E3%81%95%E3%81%BE%E3%82%88%E3%81%86%E3%81%9F%E3%81%BE%E3%81%97%E3%81%84" TargetMode="External"/><Relationship Id="rId75" Type="http://schemas.openxmlformats.org/officeDocument/2006/relationships/hyperlink" Target="http://mp.swiki.jp/index.php?%E3%83%A2%E3%83%B3%E3%82%B9%E3%82%BF%E3%83%BC%2F%E3%82%AD%E3%83%A9%E3%83%BC%E3%82%A2%E3%83%BC%E3%83%9E%E3%83%BC" TargetMode="External"/><Relationship Id="rId83" Type="http://schemas.openxmlformats.org/officeDocument/2006/relationships/hyperlink" Target="http://mp.swiki.jp/index.php?%E3%83%A2%E3%83%B3%E3%82%B9%E3%82%BF%E3%83%BC%2F%E3%82%A2%E3%83%AB%E3%83%9F%E3%83%A9%E3%83%BC%E3%82%B8" TargetMode="External"/><Relationship Id="rId88" Type="http://schemas.openxmlformats.org/officeDocument/2006/relationships/hyperlink" Target="http://mp.swiki.jp/index.php?%E3%83%A2%E3%83%B3%E3%82%B9%E3%82%BF%E3%83%BC%2F%E3%83%A1%E3%82%A4%E3%82%B8%E3%82%AD%E3%83%A1%E3%83%A9" TargetMode="External"/><Relationship Id="rId91" Type="http://schemas.openxmlformats.org/officeDocument/2006/relationships/hyperlink" Target="http://mp.swiki.jp/index.php?%E3%83%A2%E3%83%B3%E3%82%B9%E3%82%BF%E3%83%BC%2F%E3%81%A9%E3%81%8F%E3%82%84%E3%81%9A%E3%81%8D%E3%82%93" TargetMode="External"/><Relationship Id="rId96" Type="http://schemas.openxmlformats.org/officeDocument/2006/relationships/hyperlink" Target="http://mp.swiki.jp/index.php?%E3%83%A2%E3%83%B3%E3%82%B9%E3%82%BF%E3%83%BC%2F%E3%82%B4%E3%83%BC%E3%83%AB%E3%83%89%E3%83%9E%E3%83%B3" TargetMode="External"/><Relationship Id="rId111" Type="http://schemas.openxmlformats.org/officeDocument/2006/relationships/hyperlink" Target="http://mp.swiki.jp/index.php?%E3%83%A2%E3%83%B3%E3%82%B9%E3%82%BF%E3%83%BC%2F%E3%83%98%E3%83%AB%E3%82%B4%E3%83%BC%E3%82%B9%E3%83%88" TargetMode="External"/><Relationship Id="rId132" Type="http://schemas.openxmlformats.org/officeDocument/2006/relationships/hyperlink" Target="http://mp.swiki.jp/index.php?%E3%83%A2%E3%83%B3%E3%82%B9%E3%82%BF%E3%83%BC%2F%E3%83%9F%E3%83%8B%E3%83%89%E3%83%A9%E3%82%B4%E3%83%B3" TargetMode="External"/><Relationship Id="rId140" Type="http://schemas.openxmlformats.org/officeDocument/2006/relationships/hyperlink" Target="http://mp.swiki.jp/index.php?%E3%83%A2%E3%83%B3%E3%82%B9%E3%82%BF%E3%83%BC%2F%E3%83%9F%E3%83%8B%E3%81%B0%E3%81%8F%E3%81%A0%E3%82%93%E3%81%84%E3%82%8F" TargetMode="External"/><Relationship Id="rId145" Type="http://schemas.openxmlformats.org/officeDocument/2006/relationships/hyperlink" Target="http://mp.swiki.jp/index.php?%E3%83%A2%E3%83%B3%E3%82%B9%E3%82%BF%E3%83%BC%2F%E3%83%9F%E3%83%8B%E3%83%87%E3%82%B6%E3%83%BC%E3%83%88%E3%83%87%E3%83%BC%E3%83%A2%E3%83%B3" TargetMode="External"/><Relationship Id="rId153" Type="http://schemas.openxmlformats.org/officeDocument/2006/relationships/hyperlink" Target="http://mp.swiki.jp/index.php?%E3%83%A2%E3%83%B3%E3%82%B9%E3%82%BF%E3%83%BC%2F%E3%83%9F%E3%83%8B%E3%83%87%E3%83%BC%E3%83%A2%E3%83%B3" TargetMode="External"/><Relationship Id="rId1" Type="http://schemas.openxmlformats.org/officeDocument/2006/relationships/hyperlink" Target="http://mp.swiki.jp/index.php?%E3%83%A2%E3%83%B3%E3%82%B9%E3%82%BF%E3%83%BC%2F%E3%82%B9%E3%83%A9%E3%82%A4%E3%83%A0" TargetMode="External"/><Relationship Id="rId6" Type="http://schemas.openxmlformats.org/officeDocument/2006/relationships/hyperlink" Target="http://mp.swiki.jp/index.php?%E3%83%A2%E3%83%B3%E3%82%B9%E3%82%BF%E3%83%BC%2F%E3%82%B9%E3%83%A9%E3%82%A4%E3%83%A0%E3%83%99%E3%82%B9" TargetMode="External"/><Relationship Id="rId15" Type="http://schemas.openxmlformats.org/officeDocument/2006/relationships/hyperlink" Target="http://mp.swiki.jp/index.php?%E3%83%A2%E3%83%B3%E3%82%B9%E3%82%BF%E3%83%BC%2F%E3%83%AA%E3%83%AA%E3%83%91%E3%83%83%E3%83%88" TargetMode="External"/><Relationship Id="rId23" Type="http://schemas.openxmlformats.org/officeDocument/2006/relationships/hyperlink" Target="http://mp.swiki.jp/index.php?%E3%83%A2%E3%83%B3%E3%82%B9%E3%82%BF%E3%83%BC%2F%E3%81%8A%E3%81%AB%E3%81%93%E3%81%9E%E3%81%86" TargetMode="External"/><Relationship Id="rId28" Type="http://schemas.openxmlformats.org/officeDocument/2006/relationships/hyperlink" Target="http://mp.swiki.jp/index.php?%E3%83%A2%E3%83%B3%E3%82%B9%E3%82%BF%E3%83%BC%2F%E3%81%8D%E3%81%A8%E3%81%86%E3%81%97" TargetMode="External"/><Relationship Id="rId36" Type="http://schemas.openxmlformats.org/officeDocument/2006/relationships/hyperlink" Target="http://mp.swiki.jp/index.php?%E3%83%A2%E3%83%B3%E3%82%B9%E3%82%BF%E3%83%BC%2F%E5%A4%A7%E3%81%8A%E3%81%B0%E3%81%91%E3%81%8D%E3%81%AE%E3%81%93" TargetMode="External"/><Relationship Id="rId49" Type="http://schemas.openxmlformats.org/officeDocument/2006/relationships/hyperlink" Target="http://mp.swiki.jp/index.php?%E3%83%A2%E3%83%B3%E3%82%B9%E3%82%BF%E3%83%BC%2F%E3%82%AA%E3%83%BC%E3%82%AF" TargetMode="External"/><Relationship Id="rId57" Type="http://schemas.openxmlformats.org/officeDocument/2006/relationships/hyperlink" Target="http://mp.swiki.jp/index.php?%E3%83%A2%E3%83%B3%E3%82%B9%E3%82%BF%E3%83%BC%2F%E3%83%A1%E3%82%BF%E3%83%AB%E3%83%8F%E3%83%B3%E3%82%BF%E3%83%BC" TargetMode="External"/><Relationship Id="rId106" Type="http://schemas.openxmlformats.org/officeDocument/2006/relationships/hyperlink" Target="http://mp.swiki.jp/index.php?%E3%83%A2%E3%83%B3%E3%82%B9%E3%82%BF%E3%83%BC%2F%E3%83%88%E3%83%AD%E3%83%AB" TargetMode="External"/><Relationship Id="rId114" Type="http://schemas.openxmlformats.org/officeDocument/2006/relationships/hyperlink" Target="http://mp.swiki.jp/index.php?%E3%83%A2%E3%83%B3%E3%82%B9%E3%82%BF%E3%83%BC%2F%E3%82%B0%E3%83%BC%E3%83%AB" TargetMode="External"/><Relationship Id="rId119" Type="http://schemas.openxmlformats.org/officeDocument/2006/relationships/hyperlink" Target="http://mp.swiki.jp/index.php?%E3%83%A2%E3%83%B3%E3%82%B9%E3%82%BF%E3%83%BC%2F%E3%82%AD%E3%83%A3%E3%83%97%E3%83%86%E3%83%B3%E3%82%B9%E3%83%A9%E3%82%A4%E3%83%A0" TargetMode="External"/><Relationship Id="rId127" Type="http://schemas.openxmlformats.org/officeDocument/2006/relationships/hyperlink" Target="http://mp.swiki.jp/index.php?%E3%83%A2%E3%83%B3%E3%82%B9%E3%82%BF%E3%83%BC%2F%E3%83%9F%E3%83%8B%E3%82%B9%E3%83%A9%E3%82%A4%E3%83%A0%E3%83%99%E3%82%B9" TargetMode="External"/><Relationship Id="rId10" Type="http://schemas.openxmlformats.org/officeDocument/2006/relationships/hyperlink" Target="http://mp.swiki.jp/index.php?%E3%83%A2%E3%83%B3%E3%82%B9%E3%82%BF%E3%83%BC%2F%E3%82%BA%E3%83%83%E3%82%AD%E3%83%BC%E3%83%8B%E3%83%A3" TargetMode="External"/><Relationship Id="rId31" Type="http://schemas.openxmlformats.org/officeDocument/2006/relationships/hyperlink" Target="http://mp.swiki.jp/index.php?%E3%83%A2%E3%83%B3%E3%82%B9%E3%82%BF%E3%83%BC%2F%E3%82%B4%E3%83%BC%E3%82%B9%E3%83%88" TargetMode="External"/><Relationship Id="rId44" Type="http://schemas.openxmlformats.org/officeDocument/2006/relationships/hyperlink" Target="http://mp.swiki.jp/index.php?%E3%83%A2%E3%83%B3%E3%82%B9%E3%82%BF%E3%83%BC%2F%E3%82%AD%E3%83%A1%E3%83%A9" TargetMode="External"/><Relationship Id="rId52" Type="http://schemas.openxmlformats.org/officeDocument/2006/relationships/hyperlink" Target="http://mp.swiki.jp/index.php?%E3%83%A2%E3%83%B3%E3%82%B9%E3%82%BF%E3%83%BC%2F%E3%82%B7%E3%83%BC%E3%83%AB%E3%83%89%E3%81%93%E3%81%9E%E3%81%86" TargetMode="External"/><Relationship Id="rId60" Type="http://schemas.openxmlformats.org/officeDocument/2006/relationships/hyperlink" Target="http://mp.swiki.jp/index.php?%E3%83%A2%E3%83%B3%E3%82%B9%E3%82%BF%E3%83%BC%2F%E3%81%B3%E3%81%A3%E3%81%8F%E3%82%8A%E3%82%B5%E3%82%BF%E3%83%B3" TargetMode="External"/><Relationship Id="rId65" Type="http://schemas.openxmlformats.org/officeDocument/2006/relationships/hyperlink" Target="http://mp.swiki.jp/index.php?%E3%83%A2%E3%83%B3%E3%82%B9%E3%82%BF%E3%83%BC%2F%E3%83%87%E3%82%B6%E3%83%BC%E3%83%88%E3%83%87%E3%83%BC%E3%83%A2%E3%83%B3" TargetMode="External"/><Relationship Id="rId73" Type="http://schemas.openxmlformats.org/officeDocument/2006/relationships/hyperlink" Target="http://mp.swiki.jp/index.php?%E3%83%A2%E3%83%B3%E3%82%B9%E3%82%BF%E3%83%BC%2F%E3%83%96%E3%83%A9%E3%83%83%E3%83%89%E3%83%8F%E3%83%B3%E3%83%89" TargetMode="External"/><Relationship Id="rId78" Type="http://schemas.openxmlformats.org/officeDocument/2006/relationships/hyperlink" Target="http://mp.swiki.jp/index.php?%E3%83%A2%E3%83%B3%E3%82%B9%E3%82%BF%E3%83%BC%2F%E3%83%A1%E3%82%BF%E3%83%AB%E3%83%A9%E3%82%A4%E3%83%80%E3%83%BC" TargetMode="External"/><Relationship Id="rId81" Type="http://schemas.openxmlformats.org/officeDocument/2006/relationships/hyperlink" Target="http://mp.swiki.jp/index.php?%E3%83%A2%E3%83%B3%E3%82%B9%E3%82%BF%E3%83%BC%2F%E3%83%99%E3%83%93%E3%83%BC%E3%83%8B%E3%83%A5%E3%83%BC%E3%83%88" TargetMode="External"/><Relationship Id="rId86" Type="http://schemas.openxmlformats.org/officeDocument/2006/relationships/hyperlink" Target="http://mp.swiki.jp/index.php?%E3%83%A2%E3%83%B3%E3%82%B9%E3%82%BF%E3%83%BC%2F%E3%82%A8%E3%83%93%E3%83%AB%E3%82%A2%E3%83%83%E3%83%97%E3%83%AB" TargetMode="External"/><Relationship Id="rId94" Type="http://schemas.openxmlformats.org/officeDocument/2006/relationships/hyperlink" Target="http://mp.swiki.jp/index.php?%E3%83%A2%E3%83%B3%E3%82%B9%E3%82%BF%E3%83%BC%2F%E3%81%8A%E3%81%A9%E3%82%8B%E3%81%BB%E3%81%86%E3%81%9B%E3%81%8D" TargetMode="External"/><Relationship Id="rId99" Type="http://schemas.openxmlformats.org/officeDocument/2006/relationships/hyperlink" Target="http://mp.swiki.jp/index.php?%E3%83%A2%E3%83%B3%E3%82%B9%E3%82%BF%E3%83%BC%2F%E3%83%9F%E3%83%9F%E3%83%83%E3%82%AF" TargetMode="External"/><Relationship Id="rId101" Type="http://schemas.openxmlformats.org/officeDocument/2006/relationships/hyperlink" Target="http://mp.swiki.jp/index.php?%E3%83%A2%E3%83%B3%E3%82%B9%E3%82%BF%E3%83%BC%2F%E3%82%BF%E3%83%9B%E3%83%89%E3%83%A9%E3%82%AD%E3%83%BC" TargetMode="External"/><Relationship Id="rId122" Type="http://schemas.openxmlformats.org/officeDocument/2006/relationships/hyperlink" Target="http://mp.swiki.jp/index.php?%E3%83%A2%E3%83%B3%E3%82%B9%E3%82%BF%E3%83%BC%2F%E3%83%97%E3%83%AC%E3%83%9F%E3%82%A2%E3%83%A0%E3%82%B9%E3%83%A9%E3%82%A4%E3%83%A0" TargetMode="External"/><Relationship Id="rId130" Type="http://schemas.openxmlformats.org/officeDocument/2006/relationships/hyperlink" Target="http://mp.swiki.jp/index.php?%E3%83%A2%E3%83%B3%E3%82%B9%E3%82%BF%E3%83%BC%2F%E3%83%9F%E3%83%8B%E3%83%A1%E3%82%BF%E3%83%AB%E3%82%B9%E3%83%A9%E3%82%A4%E3%83%A0" TargetMode="External"/><Relationship Id="rId135" Type="http://schemas.openxmlformats.org/officeDocument/2006/relationships/hyperlink" Target="http://mp.swiki.jp/index.php?%E3%83%A2%E3%83%B3%E3%82%B9%E3%82%BF%E3%83%BC%2F%E3%83%9F%E3%83%8B%E3%82%82%E3%82%82%E3%82%93%E3%81%98%E3%82%83" TargetMode="External"/><Relationship Id="rId143" Type="http://schemas.openxmlformats.org/officeDocument/2006/relationships/hyperlink" Target="http://mp.swiki.jp/index.php?%E3%83%A2%E3%83%B3%E3%82%B9%E3%82%BF%E3%83%BC%2F%E3%83%9F%E3%83%8B%E3%83%89%E3%83%A9%E3%82%AD%E3%83%BC" TargetMode="External"/><Relationship Id="rId148" Type="http://schemas.openxmlformats.org/officeDocument/2006/relationships/hyperlink" Target="http://mp.swiki.jp/index.php?%E3%83%A2%E3%83%B3%E3%82%B9%E3%82%BF%E3%83%BC%2F%E3%83%9F%E3%83%8B%E3%81%8A%E3%81%B0%E3%81%91%E3%82%AD%E3%83%A3%E3%83%B3%E3%83%89%E3%83%AB" TargetMode="External"/><Relationship Id="rId151" Type="http://schemas.openxmlformats.org/officeDocument/2006/relationships/hyperlink" Target="http://mp.swiki.jp/index.php?%E3%83%A2%E3%83%B3%E3%82%B9%E3%82%BF%E3%83%BC%2F%E3%83%93%E3%83%83%E3%82%B0%E3%83%8F%E3%83%B3%E3%83%9E%E3%83%BC" TargetMode="External"/><Relationship Id="rId156" Type="http://schemas.openxmlformats.org/officeDocument/2006/relationships/printerSettings" Target="../printerSettings/printerSettings5.bin"/><Relationship Id="rId4" Type="http://schemas.openxmlformats.org/officeDocument/2006/relationships/hyperlink" Target="http://mp.swiki.jp/index.php?%E3%83%A2%E3%83%B3%E3%82%B9%E3%82%BF%E3%83%BC%2F%E3%82%B9%E3%83%A9%E3%82%A4%E3%83%A0%E3%81%A4%E3%82%80%E3%82%8A" TargetMode="External"/><Relationship Id="rId9" Type="http://schemas.openxmlformats.org/officeDocument/2006/relationships/hyperlink" Target="http://mp.swiki.jp/index.php?%E3%83%A2%E3%83%B3%E3%82%B9%E3%82%BF%E3%83%BC%2F%E3%82%AC%E3%83%83%E3%83%97%E3%83%AA%E3%83%B3" TargetMode="External"/><Relationship Id="rId13" Type="http://schemas.openxmlformats.org/officeDocument/2006/relationships/hyperlink" Target="http://mp.swiki.jp/index.php?%E3%83%A2%E3%83%B3%E3%82%B9%E3%82%BF%E3%83%BC%2F%E3%83%97%E3%83%AA%E3%82%BA%E3%83%8B%E3%83%A3%E3%83%B3" TargetMode="External"/><Relationship Id="rId18" Type="http://schemas.openxmlformats.org/officeDocument/2006/relationships/hyperlink" Target="http://mp.swiki.jp/index.php?%E3%83%A2%E3%83%B3%E3%82%B9%E3%82%BF%E3%83%BC%2F%E3%83%A2%E3%83%BC%E3%83%A2%E3%83%B3" TargetMode="External"/><Relationship Id="rId39" Type="http://schemas.openxmlformats.org/officeDocument/2006/relationships/hyperlink" Target="http://mp.swiki.jp/index.php?%E3%83%A2%E3%83%B3%E3%82%B9%E3%82%BF%E3%83%BC%2F%E3%82%AD%E3%83%B3%E3%82%B0%E3%82%B9%E3%83%A9%E3%82%A4%E3%83%A0" TargetMode="External"/><Relationship Id="rId109" Type="http://schemas.openxmlformats.org/officeDocument/2006/relationships/hyperlink" Target="http://mp.swiki.jp/index.php?%E3%83%A2%E3%83%B3%E3%82%B9%E3%82%BF%E3%83%BC%2F%E3%82%B7%E3%83%AB%E3%83%90%E3%83%BC%E3%83%87%E3%83%93%E3%83%AB" TargetMode="External"/><Relationship Id="rId34" Type="http://schemas.openxmlformats.org/officeDocument/2006/relationships/hyperlink" Target="http://mp.swiki.jp/index.php?%E3%83%A2%E3%83%B3%E3%82%B9%E3%82%BF%E3%83%BC%2F%E3%83%9E%E3%82%BF%E3%83%B3%E3%82%B4" TargetMode="External"/><Relationship Id="rId50" Type="http://schemas.openxmlformats.org/officeDocument/2006/relationships/hyperlink" Target="http://mp.swiki.jp/index.php?%E3%83%A2%E3%83%B3%E3%82%B9%E3%82%BF%E3%83%BC%2F%E3%83%99%E3%83%B3%E3%82%AC%E3%83%AB%E3%82%AF%E3%83%BC%E3%83%B3" TargetMode="External"/><Relationship Id="rId55" Type="http://schemas.openxmlformats.org/officeDocument/2006/relationships/hyperlink" Target="http://mp.swiki.jp/index.php?%E3%83%A2%E3%83%B3%E3%82%B9%E3%82%BF%E3%83%BC%2F%E3%81%B0%E3%81%8F%E3%81%A0%E3%82%93%E3%81%84%E3%82%8F" TargetMode="External"/><Relationship Id="rId76" Type="http://schemas.openxmlformats.org/officeDocument/2006/relationships/hyperlink" Target="http://mp.swiki.jp/index.php?%E3%83%A2%E3%83%B3%E3%82%B9%E3%82%BF%E3%83%BC%2F%E3%83%9E%E3%83%AA%E3%83%B3%E3%82%B9%E3%83%A9%E3%82%A4%E3%83%A0" TargetMode="External"/><Relationship Id="rId97" Type="http://schemas.openxmlformats.org/officeDocument/2006/relationships/hyperlink" Target="http://mp.swiki.jp/index.php?%E3%83%A2%E3%83%B3%E3%82%B9%E3%82%BF%E3%83%BC%2F%E3%82%B7%E3%83%A3%E3%83%89%E3%83%BC" TargetMode="External"/><Relationship Id="rId104" Type="http://schemas.openxmlformats.org/officeDocument/2006/relationships/hyperlink" Target="http://mp.swiki.jp/index.php?%E3%83%A2%E3%83%B3%E3%82%B9%E3%82%BF%E3%83%BC%2F%E3%83%9B%E3%83%BC%E3%82%AF%E3%83%9E%E3%83%B3" TargetMode="External"/><Relationship Id="rId120" Type="http://schemas.openxmlformats.org/officeDocument/2006/relationships/hyperlink" Target="http://mp.swiki.jp/index.php?%E3%83%A2%E3%83%B3%E3%82%B9%E3%82%BF%E3%83%BC%2F%E3%83%A9%E3%82%A4%E3%83%A0%E3%82%B9%E3%83%A9%E3%82%A4%E3%83%A0" TargetMode="External"/><Relationship Id="rId125" Type="http://schemas.openxmlformats.org/officeDocument/2006/relationships/hyperlink" Target="http://mp.swiki.jp/index.php?%E3%83%A2%E3%83%B3%E3%82%B9%E3%82%BF%E3%83%BC%2F%E3%83%9F%E3%83%8B%E3%82%B9%E3%83%A9%E3%82%A4%E3%83%A0" TargetMode="External"/><Relationship Id="rId141" Type="http://schemas.openxmlformats.org/officeDocument/2006/relationships/hyperlink" Target="http://mp.swiki.jp/index.php?%E3%83%A2%E3%83%B3%E3%82%B9%E3%82%BF%E3%83%BC%2F%E3%83%9F%E3%83%8B%E3%82%B4%E3%83%BC%E3%83%AC%E3%83%A0" TargetMode="External"/><Relationship Id="rId146" Type="http://schemas.openxmlformats.org/officeDocument/2006/relationships/hyperlink" Target="http://mp.swiki.jp/index.php?%E3%83%A2%E3%83%B3%E3%82%B9%E3%82%BF%E3%83%BC%2F%E3%83%9F%E3%83%8B%E3%82%B5%E3%82%A4%E3%82%AF%E3%83%AD%E3%83%97%E3%82%B9" TargetMode="External"/><Relationship Id="rId7" Type="http://schemas.openxmlformats.org/officeDocument/2006/relationships/hyperlink" Target="http://mp.swiki.jp/index.php?%E3%83%A2%E3%83%B3%E3%82%B9%E3%82%BF%E3%83%BC%2F%E3%82%B9%E3%83%A9%E3%82%A4%E3%83%A0%E3%83%8A%E3%82%A4%E3%83%88" TargetMode="External"/><Relationship Id="rId71" Type="http://schemas.openxmlformats.org/officeDocument/2006/relationships/hyperlink" Target="http://mp.swiki.jp/index.php?%E3%83%A2%E3%83%B3%E3%82%B9%E3%82%BF%E3%83%BC%2F%E3%83%A1%E3%83%88%E3%83%AD%E3%82%B4%E3%83%BC%E3%82%B9%E3%83%88" TargetMode="External"/><Relationship Id="rId92" Type="http://schemas.openxmlformats.org/officeDocument/2006/relationships/hyperlink" Target="http://mp.swiki.jp/index.php?%E3%83%A2%E3%83%B3%E3%82%B9%E3%82%BF%E3%83%BC%2F%E3%82%AA%E3%83%BC%E3%82%AF%E3%82%AD%E3%83%B3%E3%82%B0" TargetMode="External"/><Relationship Id="rId2" Type="http://schemas.openxmlformats.org/officeDocument/2006/relationships/hyperlink" Target="http://mp.swiki.jp/index.php?%E3%83%A2%E3%83%B3%E3%82%B9%E3%82%BF%E3%83%BC%2F%E3%83%90%E3%83%96%E3%83%AB%E3%82%B9%E3%83%A9%E3%82%A4%E3%83%A0" TargetMode="External"/><Relationship Id="rId29" Type="http://schemas.openxmlformats.org/officeDocument/2006/relationships/hyperlink" Target="http://mp.swiki.jp/index.php?%E3%83%A2%E3%83%B3%E3%82%B9%E3%82%BF%E3%83%BC%2F%E3%83%A1%E3%83%A9%E3%82%B4%E3%83%BC%E3%82%B9%E3%83%88" TargetMode="External"/><Relationship Id="rId24" Type="http://schemas.openxmlformats.org/officeDocument/2006/relationships/hyperlink" Target="http://mp.swiki.jp/index.php?%E3%83%A2%E3%83%B3%E3%82%B9%E3%82%BF%E3%83%BC%2F%E3%83%89%E3%83%A9%E3%82%AD%E3%83%BC" TargetMode="External"/><Relationship Id="rId40" Type="http://schemas.openxmlformats.org/officeDocument/2006/relationships/hyperlink" Target="http://mp.swiki.jp/index.php?%E3%83%A2%E3%83%B3%E3%82%B9%E3%82%BF%E3%83%BC%2F%E3%83%A1%E3%82%BF%E3%83%AB%E3%82%B9%E3%83%A9%E3%82%A4%E3%83%A0" TargetMode="External"/><Relationship Id="rId45" Type="http://schemas.openxmlformats.org/officeDocument/2006/relationships/hyperlink" Target="http://mp.swiki.jp/index.php?%E3%83%A2%E3%83%B3%E3%82%B9%E3%82%BF%E3%83%BC%2F%E3%83%A1%E3%82%A4%E3%82%B8%E3%82%82%E3%82%82%E3%82%93%E3%81%98%E3%82%83" TargetMode="External"/><Relationship Id="rId66" Type="http://schemas.openxmlformats.org/officeDocument/2006/relationships/hyperlink" Target="http://mp.swiki.jp/index.php?%E3%83%A2%E3%83%B3%E3%82%B9%E3%82%BF%E3%83%BC%2F%E3%82%B5%E3%82%A4%E3%82%AF%E3%83%AD%E3%83%97%E3%82%B9" TargetMode="External"/><Relationship Id="rId87" Type="http://schemas.openxmlformats.org/officeDocument/2006/relationships/hyperlink" Target="http://mp.swiki.jp/index.php?%E3%83%A2%E3%83%B3%E3%82%B9%E3%82%BF%E3%83%BC%2F%E3%83%96%E3%83%A9%E3%83%83%E3%82%AF%E3%83%99%E3%82%B8%E3%82%BF%E3%83%BC" TargetMode="External"/><Relationship Id="rId110" Type="http://schemas.openxmlformats.org/officeDocument/2006/relationships/hyperlink" Target="http://mp.swiki.jp/index.php?%E3%83%A2%E3%83%B3%E3%82%B9%E3%82%BF%E3%83%BC%2F%E3%82%B9%E3%83%A2%E3%83%BC%E3%83%AB%E3%82%B0%E3%83%BC%E3%83%AB" TargetMode="External"/><Relationship Id="rId115" Type="http://schemas.openxmlformats.org/officeDocument/2006/relationships/hyperlink" Target="http://mp.swiki.jp/index.php?%E3%83%A2%E3%83%B3%E3%82%B9%E3%82%BF%E3%83%BC%2F%E6%AD%BB%E7%A5%9E%E3%81%8D%E3%81%9E%E3%81%8F" TargetMode="External"/><Relationship Id="rId131" Type="http://schemas.openxmlformats.org/officeDocument/2006/relationships/hyperlink" Target="http://mp.swiki.jp/index.php?%E3%83%A2%E3%83%B3%E3%82%B9%E3%82%BF%E3%83%BC%2F%E3%83%9F%E3%83%8B%E3%83%89%E3%83%A9%E3%82%B4%E3%83%B3%E3%82%AD%E3%83%83%E3%82%BA" TargetMode="External"/><Relationship Id="rId136" Type="http://schemas.openxmlformats.org/officeDocument/2006/relationships/hyperlink" Target="http://mp.swiki.jp/index.php?%E3%83%A2%E3%83%B3%E3%82%B9%E3%82%BF%E3%83%BC%2F%E3%83%9F%E3%83%8B%E3%81%8A%E3%81%8A%E3%81%8D%E3%81%A5%E3%81%A1" TargetMode="External"/><Relationship Id="rId61" Type="http://schemas.openxmlformats.org/officeDocument/2006/relationships/hyperlink" Target="http://mp.swiki.jp/index.php?%E3%83%A2%E3%83%B3%E3%82%B9%E3%82%BF%E3%83%BC%2F%E3%82%AC%E3%83%BC%E3%82%B4%E3%82%A4%E3%83%AB" TargetMode="External"/><Relationship Id="rId82" Type="http://schemas.openxmlformats.org/officeDocument/2006/relationships/hyperlink" Target="http://mp.swiki.jp/index.php?%E3%83%A2%E3%83%B3%E3%82%B9%E3%82%BF%E3%83%BC%2F%E3%83%89%E3%83%A9%E3%82%B4%E3%83%B3" TargetMode="External"/><Relationship Id="rId152" Type="http://schemas.openxmlformats.org/officeDocument/2006/relationships/hyperlink" Target="http://mp.swiki.jp/index.php?%E3%83%A2%E3%83%B3%E3%82%B9%E3%82%BF%E3%83%BC%2F%E3%82%AE%E3%82%BA%E3%83%A2" TargetMode="External"/><Relationship Id="rId19" Type="http://schemas.openxmlformats.org/officeDocument/2006/relationships/hyperlink" Target="http://mp.swiki.jp/index.php?%E3%83%A2%E3%83%B3%E3%82%B9%E3%82%BF%E3%83%BC%2F%E3%83%95%E3%82%A1%E3%83%BC%E3%83%A9%E3%83%83%E3%83%88" TargetMode="External"/><Relationship Id="rId14" Type="http://schemas.openxmlformats.org/officeDocument/2006/relationships/hyperlink" Target="http://mp.swiki.jp/index.php?%E3%83%A2%E3%83%B3%E3%82%B9%E3%82%BF%E3%83%BC%2F%E3%82%82%E3%82%82%E3%82%93%E3%81%98%E3%82%83" TargetMode="External"/><Relationship Id="rId30" Type="http://schemas.openxmlformats.org/officeDocument/2006/relationships/hyperlink" Target="http://mp.swiki.jp/index.php?%E3%83%A2%E3%83%B3%E3%82%B9%E3%82%BF%E3%83%BC%2F%E3%81%8A%E3%81%B0%E3%81%91%E3%81%8D%E3%81%AE%E3%81%93" TargetMode="External"/><Relationship Id="rId35" Type="http://schemas.openxmlformats.org/officeDocument/2006/relationships/hyperlink" Target="http://mp.swiki.jp/index.php?%E3%83%A2%E3%83%B3%E3%82%B9%E3%82%BF%E3%83%BC%2F%E3%81%95%E3%81%BE%E3%82%88%E3%81%86%E3%82%88%E3%82%8D%E3%81%84" TargetMode="External"/><Relationship Id="rId56" Type="http://schemas.openxmlformats.org/officeDocument/2006/relationships/hyperlink" Target="http://mp.swiki.jp/index.php?%E3%83%A2%E3%83%B3%E3%82%B9%E3%82%BF%E3%83%BC%2F%E3%81%B2%E3%81%A8%E3%81%8F%E3%81%84%E7%AE%B1" TargetMode="External"/><Relationship Id="rId77" Type="http://schemas.openxmlformats.org/officeDocument/2006/relationships/hyperlink" Target="http://mp.swiki.jp/index.php?%E3%83%A2%E3%83%B3%E3%82%B9%E3%82%BF%E3%83%BC%2F%E3%81%97%E3%81%B3%E3%82%8C%E3%82%B9%E3%83%A9%E3%82%A4%E3%83%A0" TargetMode="External"/><Relationship Id="rId100" Type="http://schemas.openxmlformats.org/officeDocument/2006/relationships/hyperlink" Target="http://mp.swiki.jp/index.php?%E3%83%A2%E3%83%B3%E3%82%B9%E3%82%BF%E3%83%BC%2F%E3%83%96%E3%83%81%E3%83%A5%E3%83%81%E3%83%A5%E3%83%B3%E3%83%91" TargetMode="External"/><Relationship Id="rId105" Type="http://schemas.openxmlformats.org/officeDocument/2006/relationships/hyperlink" Target="http://mp.swiki.jp/index.php?%E3%83%A2%E3%83%B3%E3%82%B9%E3%82%BF%E3%83%BC%2F%E3%81%8D%E3%82%81%E3%82%93%E3%81%A9%E3%81%86%E3%81%97" TargetMode="External"/><Relationship Id="rId126" Type="http://schemas.openxmlformats.org/officeDocument/2006/relationships/hyperlink" Target="http://mp.swiki.jp/index.php?%E3%83%A2%E3%83%B3%E3%82%B9%E3%82%BF%E3%83%BC%2F%E3%83%9F%E3%83%8B%E3%83%9B%E3%82%A4%E3%83%9F%E3%82%B9%E3%83%A9%E3%82%A4%E3%83%A0" TargetMode="External"/><Relationship Id="rId147" Type="http://schemas.openxmlformats.org/officeDocument/2006/relationships/hyperlink" Target="http://mp.swiki.jp/index.php?%E3%83%A2%E3%83%B3%E3%82%B9%E3%82%BF%E3%83%BC%2F%E3%83%9F%E3%83%8B%E3%81%A4%E3%81%A1%E3%82%8F%E3%82%89%E3%81%97" TargetMode="External"/><Relationship Id="rId8" Type="http://schemas.openxmlformats.org/officeDocument/2006/relationships/hyperlink" Target="http://mp.swiki.jp/index.php?%E3%83%A2%E3%83%B3%E3%82%B9%E3%82%BF%E3%83%BC%2F%E3%81%97%E3%81%BE%E3%81%97%E3%81%BE%E3%82%AD%E3%83%A3%E3%83%83%E3%83%88" TargetMode="External"/><Relationship Id="rId51" Type="http://schemas.openxmlformats.org/officeDocument/2006/relationships/hyperlink" Target="http://mp.swiki.jp/index.php?%E3%83%A2%E3%83%B3%E3%82%B9%E3%82%BF%E3%83%BC%2F%E3%83%A2%E3%82%B3%E3%83%A2%E3%82%B3%E3%81%98%E3%82%85%E3%81%86" TargetMode="External"/><Relationship Id="rId72" Type="http://schemas.openxmlformats.org/officeDocument/2006/relationships/hyperlink" Target="http://mp.swiki.jp/index.php?%E3%83%A2%E3%83%B3%E3%82%B9%E3%82%BF%E3%83%BC%2F%E3%81%A8%E3%82%82%E3%81%97%E3%81%B3%E3%81%93%E3%81%9E%E3%81%86" TargetMode="External"/><Relationship Id="rId93" Type="http://schemas.openxmlformats.org/officeDocument/2006/relationships/hyperlink" Target="http://mp.swiki.jp/index.php?%E3%83%A2%E3%83%B3%E3%82%B9%E3%82%BF%E3%83%BC%2F%E3%82%B1%E3%83%80%E3%83%A2%E3%83%B3" TargetMode="External"/><Relationship Id="rId98" Type="http://schemas.openxmlformats.org/officeDocument/2006/relationships/hyperlink" Target="http://mp.swiki.jp/index.php?%E3%83%A2%E3%83%B3%E3%82%B9%E3%82%BF%E3%83%BC%2F%E3%83%A1%E3%82%AC%E3%82%B6%E3%83%AB%E3%83%AD%E3%83%83%E3%82%AF" TargetMode="External"/><Relationship Id="rId121" Type="http://schemas.openxmlformats.org/officeDocument/2006/relationships/hyperlink" Target="http://mp.swiki.jp/index.php?%E3%83%A2%E3%83%B3%E3%82%B9%E3%82%BF%E3%83%BC%2F%E3%83%AC%E3%83%A2%E3%83%B3%E3%82%B9%E3%83%A9%E3%82%A4%E3%83%A0" TargetMode="External"/><Relationship Id="rId142" Type="http://schemas.openxmlformats.org/officeDocument/2006/relationships/hyperlink" Target="http://mp.swiki.jp/index.php?%E3%83%A2%E3%83%B3%E3%82%B9%E3%82%BF%E3%83%BC%2F%E3%83%9F%E3%83%8B%E3%82%B4%E3%83%BC%E3%83%AB%E3%83%89%E3%83%9E%E3%83%B3" TargetMode="External"/><Relationship Id="rId3" Type="http://schemas.openxmlformats.org/officeDocument/2006/relationships/hyperlink" Target="http://mp.swiki.jp/index.php?%E3%83%A2%E3%83%B3%E3%82%B9%E3%82%BF%E3%83%BC%2F%E3%83%9B%E3%82%A4%E3%83%9F%E3%82%B9%E3%83%A9%E3%82%A4%E3%83%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0"/>
  <sheetViews>
    <sheetView showGridLines="0" tabSelected="1" workbookViewId="0"/>
  </sheetViews>
  <sheetFormatPr defaultColWidth="3.625" defaultRowHeight="13.5"/>
  <sheetData>
    <row r="1" spans="1:3" ht="18.75">
      <c r="A1" s="26" t="s">
        <v>954</v>
      </c>
    </row>
    <row r="3" spans="1:3">
      <c r="A3" t="s">
        <v>961</v>
      </c>
    </row>
    <row r="4" spans="1:3">
      <c r="A4" t="s">
        <v>956</v>
      </c>
    </row>
    <row r="6" spans="1:3">
      <c r="A6" t="s">
        <v>955</v>
      </c>
    </row>
    <row r="7" spans="1:3">
      <c r="B7" t="s">
        <v>959</v>
      </c>
    </row>
    <row r="8" spans="1:3">
      <c r="B8" t="s">
        <v>957</v>
      </c>
    </row>
    <row r="9" spans="1:3">
      <c r="C9" t="s">
        <v>958</v>
      </c>
    </row>
    <row r="10" spans="1:3">
      <c r="B10" t="s">
        <v>960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50"/>
  <sheetViews>
    <sheetView showGridLines="0" zoomScale="85" zoomScaleNormal="85" workbookViewId="0"/>
  </sheetViews>
  <sheetFormatPr defaultRowHeight="13.5"/>
  <cols>
    <col min="1" max="1" width="16.5" customWidth="1"/>
  </cols>
  <sheetData>
    <row r="1" spans="1:9" ht="17.25">
      <c r="A1" s="1" t="s">
        <v>305</v>
      </c>
    </row>
    <row r="2" spans="1:9">
      <c r="A2" s="289" t="s">
        <v>0</v>
      </c>
      <c r="B2" s="290"/>
      <c r="C2" s="290"/>
      <c r="D2" s="290"/>
      <c r="E2" s="290"/>
      <c r="F2" s="290"/>
      <c r="G2" s="290"/>
      <c r="H2" s="290"/>
      <c r="I2" s="290"/>
    </row>
    <row r="3" spans="1:9">
      <c r="A3" s="291" t="s">
        <v>1</v>
      </c>
      <c r="B3" s="294" t="s">
        <v>2</v>
      </c>
      <c r="C3" s="295"/>
      <c r="D3" s="295"/>
      <c r="E3" s="295"/>
      <c r="F3" s="295"/>
      <c r="G3" s="296"/>
      <c r="H3" s="2" t="s">
        <v>27</v>
      </c>
      <c r="I3" s="2" t="s">
        <v>3</v>
      </c>
    </row>
    <row r="4" spans="1:9">
      <c r="A4" s="292"/>
      <c r="B4" s="297"/>
      <c r="C4" s="298"/>
      <c r="D4" s="298"/>
      <c r="E4" s="298"/>
      <c r="F4" s="298"/>
      <c r="G4" s="299"/>
      <c r="H4" s="3" t="s">
        <v>4</v>
      </c>
      <c r="I4" s="3" t="s">
        <v>4</v>
      </c>
    </row>
    <row r="5" spans="1:9">
      <c r="A5" s="293"/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3" t="s">
        <v>5</v>
      </c>
      <c r="I5" s="3" t="s">
        <v>5</v>
      </c>
    </row>
    <row r="6" spans="1:9">
      <c r="A6" s="5" t="s">
        <v>12</v>
      </c>
      <c r="B6" s="7" t="s">
        <v>13</v>
      </c>
      <c r="C6" s="8" t="s">
        <v>14</v>
      </c>
      <c r="D6" s="7" t="s">
        <v>13</v>
      </c>
      <c r="E6" s="7" t="s">
        <v>13</v>
      </c>
      <c r="F6" s="6"/>
      <c r="G6" s="8" t="s">
        <v>14</v>
      </c>
      <c r="H6" s="6">
        <v>15</v>
      </c>
      <c r="I6" s="6">
        <v>33</v>
      </c>
    </row>
    <row r="7" spans="1:9">
      <c r="A7" s="5" t="s">
        <v>15</v>
      </c>
      <c r="B7" s="7" t="s">
        <v>13</v>
      </c>
      <c r="C7" s="6" t="s">
        <v>16</v>
      </c>
      <c r="D7" s="6"/>
      <c r="E7" s="6" t="s">
        <v>16</v>
      </c>
      <c r="F7" s="8" t="s">
        <v>14</v>
      </c>
      <c r="G7" s="8" t="s">
        <v>14</v>
      </c>
      <c r="H7" s="6">
        <v>15</v>
      </c>
      <c r="I7" s="6">
        <v>33</v>
      </c>
    </row>
    <row r="8" spans="1:9">
      <c r="A8" s="5" t="s">
        <v>17</v>
      </c>
      <c r="B8" s="6" t="s">
        <v>18</v>
      </c>
      <c r="C8" s="6"/>
      <c r="D8" s="6" t="s">
        <v>16</v>
      </c>
      <c r="E8" s="6" t="s">
        <v>19</v>
      </c>
      <c r="F8" s="6" t="s">
        <v>16</v>
      </c>
      <c r="G8" s="6" t="s">
        <v>19</v>
      </c>
      <c r="H8" s="6">
        <v>15</v>
      </c>
      <c r="I8" s="6">
        <v>33</v>
      </c>
    </row>
    <row r="9" spans="1:9">
      <c r="A9" s="5" t="s">
        <v>20</v>
      </c>
      <c r="B9" s="6" t="s">
        <v>19</v>
      </c>
      <c r="C9" s="7" t="s">
        <v>13</v>
      </c>
      <c r="D9" s="6"/>
      <c r="E9" s="6" t="s">
        <v>19</v>
      </c>
      <c r="F9" s="8" t="s">
        <v>14</v>
      </c>
      <c r="G9" s="7" t="s">
        <v>13</v>
      </c>
      <c r="H9" s="6">
        <v>16</v>
      </c>
      <c r="I9" s="6">
        <v>35</v>
      </c>
    </row>
    <row r="10" spans="1:9">
      <c r="A10" s="5" t="s">
        <v>21</v>
      </c>
      <c r="B10" s="6" t="s">
        <v>16</v>
      </c>
      <c r="C10" s="6"/>
      <c r="D10" s="6" t="s">
        <v>19</v>
      </c>
      <c r="E10" s="6" t="s">
        <v>16</v>
      </c>
      <c r="F10" s="6" t="s">
        <v>19</v>
      </c>
      <c r="G10" s="6" t="s">
        <v>19</v>
      </c>
      <c r="H10" s="6">
        <v>17</v>
      </c>
      <c r="I10" s="6">
        <v>38</v>
      </c>
    </row>
    <row r="11" spans="1:9">
      <c r="A11" s="5" t="s">
        <v>22</v>
      </c>
      <c r="B11" s="8" t="s">
        <v>14</v>
      </c>
      <c r="C11" s="6" t="s">
        <v>16</v>
      </c>
      <c r="D11" s="6" t="s">
        <v>16</v>
      </c>
      <c r="E11" s="6" t="s">
        <v>16</v>
      </c>
      <c r="F11" s="8" t="s">
        <v>14</v>
      </c>
      <c r="G11" s="7" t="s">
        <v>13</v>
      </c>
      <c r="H11" s="6">
        <v>14</v>
      </c>
      <c r="I11" s="6">
        <v>30</v>
      </c>
    </row>
    <row r="12" spans="1:9">
      <c r="A12" s="5" t="s">
        <v>23</v>
      </c>
      <c r="B12" s="8" t="s">
        <v>14</v>
      </c>
      <c r="C12" s="6" t="s">
        <v>16</v>
      </c>
      <c r="D12" s="6"/>
      <c r="E12" s="6"/>
      <c r="F12" s="6" t="s">
        <v>16</v>
      </c>
      <c r="G12" s="6" t="s">
        <v>16</v>
      </c>
      <c r="H12" s="6">
        <v>13</v>
      </c>
      <c r="I12" s="6">
        <v>28</v>
      </c>
    </row>
    <row r="13" spans="1:9">
      <c r="A13" s="5" t="s">
        <v>24</v>
      </c>
      <c r="B13" s="7" t="s">
        <v>13</v>
      </c>
      <c r="C13" s="6" t="s">
        <v>19</v>
      </c>
      <c r="D13" s="6" t="s">
        <v>19</v>
      </c>
      <c r="E13" s="6"/>
      <c r="F13" s="6"/>
      <c r="G13" s="8" t="s">
        <v>14</v>
      </c>
      <c r="H13" s="6">
        <v>16</v>
      </c>
      <c r="I13" s="6">
        <v>35</v>
      </c>
    </row>
    <row r="14" spans="1:9">
      <c r="A14" s="5" t="s">
        <v>25</v>
      </c>
      <c r="B14" s="6" t="s">
        <v>19</v>
      </c>
      <c r="C14" s="6" t="s">
        <v>16</v>
      </c>
      <c r="D14" s="6" t="s">
        <v>19</v>
      </c>
      <c r="E14" s="6" t="s">
        <v>16</v>
      </c>
      <c r="F14" s="6" t="s">
        <v>19</v>
      </c>
      <c r="G14" s="6" t="s">
        <v>16</v>
      </c>
      <c r="H14" s="6">
        <v>14</v>
      </c>
      <c r="I14" s="6">
        <v>30</v>
      </c>
    </row>
    <row r="15" spans="1:9">
      <c r="A15" s="5" t="s">
        <v>26</v>
      </c>
      <c r="B15" s="6" t="s">
        <v>19</v>
      </c>
      <c r="C15" s="6" t="s">
        <v>16</v>
      </c>
      <c r="D15" s="6"/>
      <c r="E15" s="6" t="s">
        <v>19</v>
      </c>
      <c r="F15" s="6" t="s">
        <v>19</v>
      </c>
      <c r="G15" s="6" t="s">
        <v>16</v>
      </c>
      <c r="H15" s="6">
        <v>16</v>
      </c>
      <c r="I15" s="6">
        <v>35</v>
      </c>
    </row>
    <row r="16" spans="1:9">
      <c r="A16" s="5" t="s">
        <v>28</v>
      </c>
      <c r="B16" s="6"/>
      <c r="C16" s="6" t="s">
        <v>16</v>
      </c>
      <c r="D16" s="6" t="s">
        <v>16</v>
      </c>
      <c r="E16" s="6"/>
      <c r="F16" s="8" t="s">
        <v>14</v>
      </c>
      <c r="G16" s="6" t="s">
        <v>16</v>
      </c>
      <c r="H16" s="6">
        <v>14</v>
      </c>
      <c r="I16" s="6">
        <v>30</v>
      </c>
    </row>
    <row r="17" spans="1:9">
      <c r="A17" s="5" t="s">
        <v>29</v>
      </c>
      <c r="B17" s="6" t="s">
        <v>19</v>
      </c>
      <c r="C17" s="6" t="s">
        <v>16</v>
      </c>
      <c r="D17" s="6" t="s">
        <v>19</v>
      </c>
      <c r="E17" s="6" t="s">
        <v>16</v>
      </c>
      <c r="F17" s="6" t="s">
        <v>19</v>
      </c>
      <c r="G17" s="6"/>
      <c r="H17" s="6">
        <v>14</v>
      </c>
      <c r="I17" s="6">
        <v>30</v>
      </c>
    </row>
    <row r="18" spans="1:9">
      <c r="A18" s="5" t="s">
        <v>30</v>
      </c>
      <c r="B18" s="6" t="s">
        <v>16</v>
      </c>
      <c r="C18" s="6"/>
      <c r="D18" s="6" t="s">
        <v>19</v>
      </c>
      <c r="E18" s="6" t="s">
        <v>16</v>
      </c>
      <c r="F18" s="6" t="s">
        <v>19</v>
      </c>
      <c r="G18" s="6" t="s">
        <v>16</v>
      </c>
      <c r="H18" s="6">
        <v>15</v>
      </c>
      <c r="I18" s="6">
        <v>33</v>
      </c>
    </row>
    <row r="19" spans="1:9">
      <c r="A19" s="5" t="s">
        <v>31</v>
      </c>
      <c r="B19" s="6"/>
      <c r="C19" s="6"/>
      <c r="D19" s="8" t="s">
        <v>14</v>
      </c>
      <c r="E19" s="6" t="s">
        <v>19</v>
      </c>
      <c r="F19" s="7" t="s">
        <v>13</v>
      </c>
      <c r="G19" s="7" t="s">
        <v>13</v>
      </c>
      <c r="H19" s="6">
        <v>14</v>
      </c>
      <c r="I19" s="6">
        <v>30</v>
      </c>
    </row>
    <row r="20" spans="1:9">
      <c r="A20" s="5" t="s">
        <v>32</v>
      </c>
      <c r="B20" s="6" t="s">
        <v>19</v>
      </c>
      <c r="C20" s="6"/>
      <c r="D20" s="6" t="s">
        <v>16</v>
      </c>
      <c r="E20" s="6" t="s">
        <v>19</v>
      </c>
      <c r="F20" s="6"/>
      <c r="G20" s="6" t="s">
        <v>16</v>
      </c>
      <c r="H20" s="6">
        <v>15</v>
      </c>
      <c r="I20" s="6">
        <v>33</v>
      </c>
    </row>
    <row r="21" spans="1:9">
      <c r="A21" s="5" t="s">
        <v>33</v>
      </c>
      <c r="B21" s="6"/>
      <c r="C21" s="6" t="s">
        <v>16</v>
      </c>
      <c r="D21" s="6" t="s">
        <v>19</v>
      </c>
      <c r="E21" s="6"/>
      <c r="F21" s="6"/>
      <c r="G21" s="8" t="s">
        <v>14</v>
      </c>
      <c r="H21" s="6">
        <v>16</v>
      </c>
      <c r="I21" s="6">
        <v>35</v>
      </c>
    </row>
    <row r="22" spans="1:9">
      <c r="A22" s="5" t="s">
        <v>34</v>
      </c>
      <c r="B22" s="6" t="s">
        <v>19</v>
      </c>
      <c r="C22" s="7" t="s">
        <v>13</v>
      </c>
      <c r="D22" s="6" t="s">
        <v>19</v>
      </c>
      <c r="E22" s="8" t="s">
        <v>14</v>
      </c>
      <c r="F22" s="6"/>
      <c r="G22" s="6"/>
      <c r="H22" s="6">
        <v>15</v>
      </c>
      <c r="I22" s="6">
        <v>33</v>
      </c>
    </row>
    <row r="23" spans="1:9">
      <c r="A23" s="5" t="s">
        <v>35</v>
      </c>
      <c r="B23" s="6" t="s">
        <v>19</v>
      </c>
      <c r="C23" s="6"/>
      <c r="D23" s="8" t="s">
        <v>14</v>
      </c>
      <c r="E23" s="6" t="s">
        <v>16</v>
      </c>
      <c r="F23" s="6" t="s">
        <v>16</v>
      </c>
      <c r="G23" s="7" t="s">
        <v>13</v>
      </c>
      <c r="H23" s="6">
        <v>14</v>
      </c>
      <c r="I23" s="6">
        <v>30</v>
      </c>
    </row>
    <row r="24" spans="1:9">
      <c r="A24" s="5" t="s">
        <v>36</v>
      </c>
      <c r="B24" s="6" t="s">
        <v>16</v>
      </c>
      <c r="C24" s="6" t="s">
        <v>19</v>
      </c>
      <c r="D24" s="6"/>
      <c r="E24" s="6"/>
      <c r="F24" s="6"/>
      <c r="G24" s="6"/>
      <c r="H24" s="6">
        <v>15</v>
      </c>
      <c r="I24" s="6">
        <v>33</v>
      </c>
    </row>
    <row r="25" spans="1:9">
      <c r="A25" s="5" t="s">
        <v>37</v>
      </c>
      <c r="B25" s="8" t="s">
        <v>14</v>
      </c>
      <c r="C25" s="6"/>
      <c r="D25" s="7" t="s">
        <v>13</v>
      </c>
      <c r="E25" s="6" t="s">
        <v>16</v>
      </c>
      <c r="F25" s="6" t="s">
        <v>19</v>
      </c>
      <c r="G25" s="6" t="s">
        <v>16</v>
      </c>
      <c r="H25" s="6">
        <v>15</v>
      </c>
      <c r="I25" s="6">
        <v>33</v>
      </c>
    </row>
    <row r="26" spans="1:9">
      <c r="A26" s="5" t="s">
        <v>38</v>
      </c>
      <c r="B26" s="6" t="s">
        <v>19</v>
      </c>
      <c r="C26" s="7" t="s">
        <v>13</v>
      </c>
      <c r="D26" s="6"/>
      <c r="E26" s="6" t="s">
        <v>19</v>
      </c>
      <c r="F26" s="6" t="s">
        <v>19</v>
      </c>
      <c r="G26" s="7" t="s">
        <v>13</v>
      </c>
      <c r="H26" s="6">
        <v>15</v>
      </c>
      <c r="I26" s="6">
        <v>33</v>
      </c>
    </row>
    <row r="27" spans="1:9">
      <c r="A27" s="5" t="s">
        <v>39</v>
      </c>
      <c r="B27" s="7" t="s">
        <v>13</v>
      </c>
      <c r="C27" s="6"/>
      <c r="D27" s="7" t="s">
        <v>13</v>
      </c>
      <c r="E27" s="6"/>
      <c r="F27" s="6" t="s">
        <v>19</v>
      </c>
      <c r="G27" s="8" t="s">
        <v>14</v>
      </c>
      <c r="H27" s="6">
        <v>16</v>
      </c>
      <c r="I27" s="6">
        <v>35</v>
      </c>
    </row>
    <row r="28" spans="1:9">
      <c r="A28" s="5" t="s">
        <v>40</v>
      </c>
      <c r="B28" s="6" t="s">
        <v>16</v>
      </c>
      <c r="C28" s="6" t="s">
        <v>16</v>
      </c>
      <c r="D28" s="6"/>
      <c r="E28" s="6" t="s">
        <v>19</v>
      </c>
      <c r="F28" s="6"/>
      <c r="G28" s="6" t="s">
        <v>19</v>
      </c>
      <c r="H28" s="6">
        <v>15</v>
      </c>
      <c r="I28" s="6">
        <v>33</v>
      </c>
    </row>
    <row r="29" spans="1:9">
      <c r="A29" s="5" t="s">
        <v>41</v>
      </c>
      <c r="B29" s="6" t="s">
        <v>16</v>
      </c>
      <c r="C29" s="6" t="s">
        <v>19</v>
      </c>
      <c r="D29" s="6" t="s">
        <v>19</v>
      </c>
      <c r="E29" s="6"/>
      <c r="F29" s="8" t="s">
        <v>14</v>
      </c>
      <c r="G29" s="6" t="s">
        <v>16</v>
      </c>
      <c r="H29" s="6">
        <v>17</v>
      </c>
      <c r="I29" s="6">
        <v>38</v>
      </c>
    </row>
    <row r="30" spans="1:9">
      <c r="A30" s="5" t="s">
        <v>42</v>
      </c>
      <c r="B30" s="6" t="s">
        <v>19</v>
      </c>
      <c r="C30" s="6" t="s">
        <v>16</v>
      </c>
      <c r="D30" s="6"/>
      <c r="E30" s="6" t="s">
        <v>16</v>
      </c>
      <c r="F30" s="6" t="s">
        <v>19</v>
      </c>
      <c r="G30" s="6" t="s">
        <v>16</v>
      </c>
      <c r="H30" s="6">
        <v>14</v>
      </c>
      <c r="I30" s="6">
        <v>30</v>
      </c>
    </row>
    <row r="31" spans="1:9">
      <c r="A31" s="5" t="s">
        <v>43</v>
      </c>
      <c r="B31" s="9" t="s">
        <v>16</v>
      </c>
      <c r="C31" s="9" t="s">
        <v>16</v>
      </c>
      <c r="D31" s="8" t="s">
        <v>14</v>
      </c>
      <c r="E31" s="6"/>
      <c r="F31" s="8" t="s">
        <v>14</v>
      </c>
      <c r="G31" s="9" t="s">
        <v>16</v>
      </c>
      <c r="H31" s="6">
        <v>16</v>
      </c>
      <c r="I31" s="6">
        <v>35</v>
      </c>
    </row>
    <row r="32" spans="1:9">
      <c r="A32" s="5" t="s">
        <v>44</v>
      </c>
      <c r="B32" s="8" t="s">
        <v>14</v>
      </c>
      <c r="C32" s="7" t="s">
        <v>13</v>
      </c>
      <c r="D32" s="8" t="s">
        <v>14</v>
      </c>
      <c r="E32" s="7" t="s">
        <v>13</v>
      </c>
      <c r="F32" s="6"/>
      <c r="G32" s="7" t="s">
        <v>13</v>
      </c>
      <c r="H32" s="6">
        <v>14</v>
      </c>
      <c r="I32" s="6">
        <v>30</v>
      </c>
    </row>
    <row r="33" spans="1:9">
      <c r="A33" s="5" t="s">
        <v>45</v>
      </c>
      <c r="B33" s="6" t="s">
        <v>19</v>
      </c>
      <c r="C33" s="6"/>
      <c r="D33" s="6" t="s">
        <v>19</v>
      </c>
      <c r="E33" s="6"/>
      <c r="F33" s="7" t="s">
        <v>13</v>
      </c>
      <c r="G33" s="6"/>
      <c r="H33" s="6">
        <v>16</v>
      </c>
      <c r="I33" s="6">
        <v>35</v>
      </c>
    </row>
    <row r="34" spans="1:9">
      <c r="A34" s="5" t="s">
        <v>46</v>
      </c>
      <c r="B34" s="6" t="s">
        <v>16</v>
      </c>
      <c r="C34" s="6" t="s">
        <v>19</v>
      </c>
      <c r="D34" s="6" t="s">
        <v>16</v>
      </c>
      <c r="E34" s="6"/>
      <c r="F34" s="6" t="s">
        <v>19</v>
      </c>
      <c r="G34" s="6" t="s">
        <v>19</v>
      </c>
      <c r="H34" s="6">
        <v>17</v>
      </c>
      <c r="I34" s="6">
        <v>38</v>
      </c>
    </row>
    <row r="35" spans="1:9">
      <c r="A35" s="5" t="s">
        <v>47</v>
      </c>
      <c r="B35" s="7" t="s">
        <v>13</v>
      </c>
      <c r="C35" s="6" t="s">
        <v>19</v>
      </c>
      <c r="D35" s="6"/>
      <c r="E35" s="6" t="s">
        <v>19</v>
      </c>
      <c r="F35" s="6" t="s">
        <v>19</v>
      </c>
      <c r="G35" s="6" t="s">
        <v>16</v>
      </c>
      <c r="H35" s="6">
        <v>16</v>
      </c>
      <c r="I35" s="6">
        <v>35</v>
      </c>
    </row>
    <row r="36" spans="1:9">
      <c r="A36" s="5" t="s">
        <v>48</v>
      </c>
      <c r="B36" s="8" t="s">
        <v>49</v>
      </c>
      <c r="C36" s="6" t="s">
        <v>16</v>
      </c>
      <c r="D36" s="6" t="s">
        <v>16</v>
      </c>
      <c r="E36" s="6"/>
      <c r="F36" s="6" t="s">
        <v>16</v>
      </c>
      <c r="G36" s="6"/>
      <c r="H36" s="6">
        <v>15</v>
      </c>
      <c r="I36" s="6">
        <v>33</v>
      </c>
    </row>
    <row r="37" spans="1:9">
      <c r="A37" s="5" t="s">
        <v>50</v>
      </c>
      <c r="B37" s="7" t="s">
        <v>13</v>
      </c>
      <c r="C37" s="6" t="s">
        <v>19</v>
      </c>
      <c r="D37" s="6" t="s">
        <v>16</v>
      </c>
      <c r="E37" s="6" t="s">
        <v>19</v>
      </c>
      <c r="F37" s="6" t="s">
        <v>16</v>
      </c>
      <c r="G37" s="6" t="s">
        <v>19</v>
      </c>
      <c r="H37" s="6">
        <v>15</v>
      </c>
      <c r="I37" s="6">
        <v>33</v>
      </c>
    </row>
    <row r="38" spans="1:9">
      <c r="A38" s="5" t="s">
        <v>51</v>
      </c>
      <c r="B38" s="6" t="s">
        <v>19</v>
      </c>
      <c r="C38" s="6" t="s">
        <v>16</v>
      </c>
      <c r="D38" s="8" t="s">
        <v>14</v>
      </c>
      <c r="E38" s="6" t="s">
        <v>16</v>
      </c>
      <c r="F38" s="6" t="s">
        <v>19</v>
      </c>
      <c r="G38" s="6" t="s">
        <v>16</v>
      </c>
      <c r="H38" s="6">
        <v>15</v>
      </c>
      <c r="I38" s="6">
        <v>33</v>
      </c>
    </row>
    <row r="39" spans="1:9">
      <c r="A39" s="5" t="s">
        <v>52</v>
      </c>
      <c r="B39" s="6" t="s">
        <v>16</v>
      </c>
      <c r="C39" s="6" t="s">
        <v>19</v>
      </c>
      <c r="D39" s="6" t="s">
        <v>16</v>
      </c>
      <c r="E39" s="6"/>
      <c r="F39" s="6" t="s">
        <v>16</v>
      </c>
      <c r="G39" s="6" t="s">
        <v>19</v>
      </c>
      <c r="H39" s="6">
        <v>16</v>
      </c>
      <c r="I39" s="6">
        <v>35</v>
      </c>
    </row>
    <row r="40" spans="1:9">
      <c r="A40" s="5" t="s">
        <v>53</v>
      </c>
      <c r="B40" s="6"/>
      <c r="C40" s="6"/>
      <c r="D40" s="6" t="s">
        <v>16</v>
      </c>
      <c r="E40" s="8" t="s">
        <v>14</v>
      </c>
      <c r="F40" s="6" t="s">
        <v>16</v>
      </c>
      <c r="G40" s="6"/>
      <c r="H40" s="6">
        <v>16</v>
      </c>
      <c r="I40" s="6">
        <v>35</v>
      </c>
    </row>
    <row r="41" spans="1:9">
      <c r="A41" s="5" t="s">
        <v>54</v>
      </c>
      <c r="B41" s="6" t="s">
        <v>16</v>
      </c>
      <c r="C41" s="6"/>
      <c r="D41" s="6"/>
      <c r="E41" s="6"/>
      <c r="F41" s="6"/>
      <c r="G41" s="6" t="s">
        <v>19</v>
      </c>
      <c r="H41" s="6">
        <v>15</v>
      </c>
      <c r="I41" s="6">
        <v>33</v>
      </c>
    </row>
    <row r="42" spans="1:9">
      <c r="A42" s="5" t="s">
        <v>55</v>
      </c>
      <c r="B42" s="5"/>
      <c r="C42" s="10"/>
      <c r="D42" s="10"/>
      <c r="E42" s="10"/>
      <c r="F42" s="10"/>
      <c r="G42" s="5"/>
      <c r="H42" s="6">
        <v>15</v>
      </c>
      <c r="I42" s="6">
        <v>33</v>
      </c>
    </row>
    <row r="43" spans="1:9">
      <c r="A43" s="5" t="s">
        <v>56</v>
      </c>
      <c r="B43" s="6"/>
      <c r="C43" s="6" t="s">
        <v>16</v>
      </c>
      <c r="D43" s="6"/>
      <c r="E43" s="6" t="s">
        <v>19</v>
      </c>
      <c r="F43" s="6" t="s">
        <v>16</v>
      </c>
      <c r="G43" s="6" t="s">
        <v>19</v>
      </c>
      <c r="H43" s="6">
        <v>15</v>
      </c>
      <c r="I43" s="6">
        <v>33</v>
      </c>
    </row>
    <row r="44" spans="1:9">
      <c r="A44" s="5" t="s">
        <v>57</v>
      </c>
      <c r="B44" s="8" t="s">
        <v>14</v>
      </c>
      <c r="C44" s="6"/>
      <c r="D44" s="6" t="s">
        <v>16</v>
      </c>
      <c r="E44" s="6" t="s">
        <v>16</v>
      </c>
      <c r="F44" s="6"/>
      <c r="G44" s="6"/>
      <c r="H44" s="6">
        <v>16</v>
      </c>
      <c r="I44" s="6">
        <v>35</v>
      </c>
    </row>
    <row r="45" spans="1:9">
      <c r="A45" s="5" t="s">
        <v>58</v>
      </c>
      <c r="B45" s="6" t="s">
        <v>16</v>
      </c>
      <c r="C45" s="6" t="s">
        <v>19</v>
      </c>
      <c r="D45" s="6" t="s">
        <v>16</v>
      </c>
      <c r="E45" s="6" t="s">
        <v>19</v>
      </c>
      <c r="F45" s="6"/>
      <c r="G45" s="8" t="s">
        <v>14</v>
      </c>
      <c r="H45" s="6">
        <v>16</v>
      </c>
      <c r="I45" s="6">
        <v>35</v>
      </c>
    </row>
    <row r="46" spans="1:9">
      <c r="A46" s="5" t="s">
        <v>59</v>
      </c>
      <c r="B46" s="6"/>
      <c r="C46" s="6" t="s">
        <v>19</v>
      </c>
      <c r="D46" s="6" t="s">
        <v>16</v>
      </c>
      <c r="E46" s="6" t="s">
        <v>19</v>
      </c>
      <c r="F46" s="6" t="s">
        <v>16</v>
      </c>
      <c r="G46" s="6"/>
      <c r="H46" s="6">
        <v>16</v>
      </c>
      <c r="I46" s="6">
        <v>35</v>
      </c>
    </row>
    <row r="47" spans="1:9">
      <c r="A47" s="5" t="s">
        <v>60</v>
      </c>
      <c r="B47" s="7" t="s">
        <v>13</v>
      </c>
      <c r="C47" s="6"/>
      <c r="D47" s="6" t="s">
        <v>19</v>
      </c>
      <c r="E47" s="6"/>
      <c r="F47" s="8" t="s">
        <v>14</v>
      </c>
      <c r="G47" s="6"/>
      <c r="H47" s="6">
        <v>17</v>
      </c>
      <c r="I47" s="6">
        <v>38</v>
      </c>
    </row>
    <row r="48" spans="1:9">
      <c r="A48" s="5" t="s">
        <v>61</v>
      </c>
      <c r="B48" s="6" t="s">
        <v>19</v>
      </c>
      <c r="C48" s="6" t="s">
        <v>16</v>
      </c>
      <c r="D48" s="6" t="s">
        <v>19</v>
      </c>
      <c r="E48" s="6" t="s">
        <v>16</v>
      </c>
      <c r="F48" s="6" t="s">
        <v>19</v>
      </c>
      <c r="G48" s="6" t="s">
        <v>16</v>
      </c>
      <c r="H48" s="6">
        <v>13</v>
      </c>
      <c r="I48" s="6">
        <v>28</v>
      </c>
    </row>
    <row r="49" spans="1:9">
      <c r="A49" s="5" t="s">
        <v>62</v>
      </c>
      <c r="B49" s="6" t="s">
        <v>16</v>
      </c>
      <c r="C49" s="6" t="s">
        <v>19</v>
      </c>
      <c r="D49" s="6" t="s">
        <v>16</v>
      </c>
      <c r="E49" s="6"/>
      <c r="F49" s="6" t="s">
        <v>16</v>
      </c>
      <c r="G49" s="8" t="s">
        <v>14</v>
      </c>
      <c r="H49" s="6">
        <v>16</v>
      </c>
      <c r="I49" s="6">
        <v>35</v>
      </c>
    </row>
    <row r="50" spans="1:9">
      <c r="A50" s="5" t="s">
        <v>63</v>
      </c>
      <c r="B50" s="6"/>
      <c r="C50" s="7" t="s">
        <v>13</v>
      </c>
      <c r="D50" s="6" t="s">
        <v>19</v>
      </c>
      <c r="E50" s="7" t="s">
        <v>13</v>
      </c>
      <c r="F50" s="6" t="s">
        <v>19</v>
      </c>
      <c r="G50" s="6"/>
      <c r="H50" s="6">
        <v>14</v>
      </c>
      <c r="I50" s="6">
        <v>30</v>
      </c>
    </row>
  </sheetData>
  <mergeCells count="3">
    <mergeCell ref="A2:I2"/>
    <mergeCell ref="A3:A5"/>
    <mergeCell ref="B3:G4"/>
  </mergeCells>
  <phoneticPr fontId="3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7"/>
  <sheetViews>
    <sheetView zoomScale="85" zoomScaleNormal="85" workbookViewId="0"/>
  </sheetViews>
  <sheetFormatPr defaultRowHeight="13.5"/>
  <cols>
    <col min="1" max="1" width="16.625" style="156" customWidth="1"/>
    <col min="2" max="2" width="16" style="156" customWidth="1"/>
    <col min="3" max="3" width="7.375" style="156" customWidth="1"/>
    <col min="4" max="4" width="4.125" style="156" bestFit="1" customWidth="1"/>
    <col min="5" max="5" width="5.125" style="156" bestFit="1" customWidth="1"/>
    <col min="6" max="6" width="4.125" style="156" bestFit="1" customWidth="1"/>
    <col min="7" max="9" width="5.375" style="156" bestFit="1" customWidth="1"/>
    <col min="10" max="10" width="5.125" style="156" bestFit="1" customWidth="1"/>
    <col min="11" max="11" width="2.5" style="157" customWidth="1"/>
    <col min="12" max="12" width="3.625" style="156" bestFit="1" customWidth="1"/>
    <col min="13" max="13" width="4.5" style="156" bestFit="1" customWidth="1"/>
    <col min="14" max="14" width="4" style="156" bestFit="1" customWidth="1"/>
    <col min="15" max="17" width="5.25" style="156" bestFit="1" customWidth="1"/>
    <col min="18" max="18" width="4.75" style="156" bestFit="1" customWidth="1"/>
    <col min="19" max="19" width="1.75" style="156" customWidth="1"/>
    <col min="20" max="25" width="5.5" style="156" bestFit="1" customWidth="1"/>
    <col min="26" max="16384" width="9" style="156"/>
  </cols>
  <sheetData>
    <row r="1" spans="1:25">
      <c r="A1" s="156" t="s">
        <v>781</v>
      </c>
      <c r="T1" s="300" t="s">
        <v>771</v>
      </c>
      <c r="U1" s="300"/>
      <c r="V1" s="300"/>
      <c r="W1" s="300"/>
      <c r="X1" s="300"/>
      <c r="Y1" s="300"/>
    </row>
    <row r="2" spans="1:25">
      <c r="A2" s="302" t="s">
        <v>964</v>
      </c>
      <c r="B2" s="158" t="s">
        <v>772</v>
      </c>
      <c r="C2" s="158" t="s">
        <v>773</v>
      </c>
      <c r="D2" s="159" t="s">
        <v>774</v>
      </c>
      <c r="E2" s="159" t="s">
        <v>6</v>
      </c>
      <c r="F2" s="159" t="s">
        <v>7</v>
      </c>
      <c r="G2" s="159" t="s">
        <v>8</v>
      </c>
      <c r="H2" s="159" t="s">
        <v>9</v>
      </c>
      <c r="I2" s="159" t="s">
        <v>332</v>
      </c>
      <c r="J2" s="159" t="s">
        <v>11</v>
      </c>
      <c r="L2" s="160" t="s">
        <v>774</v>
      </c>
      <c r="M2" s="160" t="s">
        <v>6</v>
      </c>
      <c r="N2" s="160" t="s">
        <v>7</v>
      </c>
      <c r="O2" s="160" t="s">
        <v>8</v>
      </c>
      <c r="P2" s="160" t="s">
        <v>9</v>
      </c>
      <c r="Q2" s="160" t="s">
        <v>332</v>
      </c>
      <c r="R2" s="160" t="s">
        <v>11</v>
      </c>
      <c r="T2" s="161" t="s">
        <v>6</v>
      </c>
      <c r="U2" s="161" t="s">
        <v>7</v>
      </c>
      <c r="V2" s="161" t="s">
        <v>8</v>
      </c>
      <c r="W2" s="161" t="s">
        <v>9</v>
      </c>
      <c r="X2" s="161" t="s">
        <v>332</v>
      </c>
      <c r="Y2" s="161" t="s">
        <v>11</v>
      </c>
    </row>
    <row r="3" spans="1:25">
      <c r="A3" s="162" t="s">
        <v>236</v>
      </c>
      <c r="B3" s="163" t="s">
        <v>55</v>
      </c>
      <c r="C3" s="162" t="s">
        <v>215</v>
      </c>
      <c r="D3" s="164">
        <v>25</v>
      </c>
      <c r="E3" s="164">
        <v>222</v>
      </c>
      <c r="F3" s="164">
        <v>31</v>
      </c>
      <c r="G3" s="164">
        <v>123</v>
      </c>
      <c r="H3" s="164">
        <v>110</v>
      </c>
      <c r="I3" s="164">
        <v>56</v>
      </c>
      <c r="J3" s="164">
        <v>33</v>
      </c>
      <c r="K3" s="165"/>
      <c r="L3" s="166">
        <v>50</v>
      </c>
      <c r="M3" s="167">
        <v>401</v>
      </c>
      <c r="N3" s="167">
        <v>57</v>
      </c>
      <c r="O3" s="167">
        <v>224</v>
      </c>
      <c r="P3" s="167">
        <v>200</v>
      </c>
      <c r="Q3" s="167">
        <v>102</v>
      </c>
      <c r="R3" s="167">
        <v>60</v>
      </c>
      <c r="T3" s="168">
        <f t="shared" ref="T3:Y3" si="0">M3/E3</f>
        <v>1.8063063063063063</v>
      </c>
      <c r="U3" s="168">
        <f t="shared" si="0"/>
        <v>1.8387096774193548</v>
      </c>
      <c r="V3" s="168">
        <f t="shared" si="0"/>
        <v>1.8211382113821137</v>
      </c>
      <c r="W3" s="168">
        <f t="shared" si="0"/>
        <v>1.8181818181818181</v>
      </c>
      <c r="X3" s="168">
        <f t="shared" si="0"/>
        <v>1.8214285714285714</v>
      </c>
      <c r="Y3" s="168">
        <f t="shared" si="0"/>
        <v>1.8181818181818181</v>
      </c>
    </row>
    <row r="4" spans="1:25">
      <c r="A4" s="163" t="s">
        <v>775</v>
      </c>
      <c r="B4" s="163" t="s">
        <v>12</v>
      </c>
      <c r="C4" s="169" t="s">
        <v>776</v>
      </c>
      <c r="D4" s="164">
        <v>25</v>
      </c>
      <c r="E4" s="170">
        <v>156.24</v>
      </c>
      <c r="F4" s="170">
        <v>60.800000000000004</v>
      </c>
      <c r="G4" s="170">
        <v>63</v>
      </c>
      <c r="H4" s="170">
        <v>83.600000000000009</v>
      </c>
      <c r="I4" s="170">
        <v>102.82000000000001</v>
      </c>
      <c r="J4" s="170">
        <v>164.22</v>
      </c>
      <c r="L4" s="171">
        <v>50</v>
      </c>
      <c r="M4" s="172">
        <v>280</v>
      </c>
      <c r="N4" s="172">
        <v>102</v>
      </c>
      <c r="O4" s="172">
        <v>126</v>
      </c>
      <c r="P4" s="172">
        <v>190</v>
      </c>
      <c r="Q4" s="172">
        <v>184</v>
      </c>
      <c r="R4" s="172">
        <v>247</v>
      </c>
      <c r="T4" s="168">
        <f t="shared" ref="T4:Y46" si="1">M4/E4</f>
        <v>1.7921146953405016</v>
      </c>
      <c r="U4" s="168">
        <f t="shared" si="1"/>
        <v>1.6776315789473684</v>
      </c>
      <c r="V4" s="168">
        <f t="shared" si="1"/>
        <v>2</v>
      </c>
      <c r="W4" s="168">
        <f t="shared" si="1"/>
        <v>2.2727272727272725</v>
      </c>
      <c r="X4" s="168">
        <f t="shared" si="1"/>
        <v>1.7895351099007974</v>
      </c>
      <c r="Y4" s="168">
        <f t="shared" si="1"/>
        <v>1.5040798928266959</v>
      </c>
    </row>
    <row r="5" spans="1:25">
      <c r="A5" s="162" t="s">
        <v>236</v>
      </c>
      <c r="B5" s="163" t="s">
        <v>15</v>
      </c>
      <c r="C5" s="162" t="s">
        <v>215</v>
      </c>
      <c r="D5" s="164">
        <v>25</v>
      </c>
      <c r="E5" s="170">
        <v>170.94</v>
      </c>
      <c r="F5" s="170">
        <v>23.87</v>
      </c>
      <c r="G5" s="170">
        <v>116.85000000000001</v>
      </c>
      <c r="H5" s="170">
        <v>92.4</v>
      </c>
      <c r="I5" s="170">
        <v>63.84</v>
      </c>
      <c r="J5" s="170">
        <v>39.270000000000003</v>
      </c>
      <c r="K5" s="156"/>
      <c r="L5" s="166">
        <v>50</v>
      </c>
      <c r="M5" s="173">
        <v>381</v>
      </c>
      <c r="N5" s="173">
        <v>54</v>
      </c>
      <c r="O5" s="173">
        <v>214</v>
      </c>
      <c r="P5" s="173">
        <v>166</v>
      </c>
      <c r="Q5" s="173">
        <v>97</v>
      </c>
      <c r="R5" s="173">
        <v>59</v>
      </c>
      <c r="T5" s="168">
        <f t="shared" si="1"/>
        <v>2.228852228852229</v>
      </c>
      <c r="U5" s="168">
        <f t="shared" si="1"/>
        <v>2.2622538751571009</v>
      </c>
      <c r="V5" s="168">
        <f t="shared" si="1"/>
        <v>1.831407787762088</v>
      </c>
      <c r="W5" s="168">
        <f t="shared" si="1"/>
        <v>1.7965367965367964</v>
      </c>
      <c r="X5" s="168">
        <f t="shared" si="1"/>
        <v>1.5194235588972431</v>
      </c>
      <c r="Y5" s="168">
        <f t="shared" si="1"/>
        <v>1.5024191494779728</v>
      </c>
    </row>
    <row r="6" spans="1:25">
      <c r="A6" s="162" t="s">
        <v>236</v>
      </c>
      <c r="B6" s="163" t="s">
        <v>316</v>
      </c>
      <c r="C6" s="162" t="s">
        <v>215</v>
      </c>
      <c r="D6" s="164">
        <v>25</v>
      </c>
      <c r="E6" s="170">
        <v>186.48</v>
      </c>
      <c r="F6" s="170">
        <v>37.200000000000003</v>
      </c>
      <c r="G6" s="170">
        <v>113.16</v>
      </c>
      <c r="H6" s="170">
        <v>123.2</v>
      </c>
      <c r="I6" s="170">
        <v>33.04</v>
      </c>
      <c r="J6" s="170">
        <v>43.89</v>
      </c>
      <c r="K6" s="156"/>
      <c r="L6" s="166">
        <v>50</v>
      </c>
      <c r="M6" s="173">
        <v>335</v>
      </c>
      <c r="N6" s="173">
        <v>67</v>
      </c>
      <c r="O6" s="173">
        <v>215</v>
      </c>
      <c r="P6" s="173">
        <v>198</v>
      </c>
      <c r="Q6" s="173">
        <v>73</v>
      </c>
      <c r="R6" s="173">
        <v>66</v>
      </c>
      <c r="T6" s="168">
        <f t="shared" si="1"/>
        <v>1.7964392964392966</v>
      </c>
      <c r="U6" s="168">
        <f t="shared" si="1"/>
        <v>1.8010752688172043</v>
      </c>
      <c r="V6" s="168">
        <f t="shared" si="1"/>
        <v>1.8999646518204314</v>
      </c>
      <c r="W6" s="168">
        <f t="shared" si="1"/>
        <v>1.6071428571428572</v>
      </c>
      <c r="X6" s="168">
        <f t="shared" si="1"/>
        <v>2.2094430992736078</v>
      </c>
      <c r="Y6" s="168">
        <f t="shared" si="1"/>
        <v>1.5037593984962405</v>
      </c>
    </row>
    <row r="7" spans="1:25">
      <c r="A7" s="162" t="s">
        <v>236</v>
      </c>
      <c r="B7" s="163" t="s">
        <v>317</v>
      </c>
      <c r="C7" s="162" t="s">
        <v>215</v>
      </c>
      <c r="D7" s="164">
        <v>25</v>
      </c>
      <c r="E7" s="170">
        <v>270.84000000000003</v>
      </c>
      <c r="F7" s="170">
        <v>18.600000000000001</v>
      </c>
      <c r="G7" s="170">
        <v>123</v>
      </c>
      <c r="H7" s="170">
        <v>137.5</v>
      </c>
      <c r="I7" s="170">
        <v>70</v>
      </c>
      <c r="J7" s="170">
        <v>27.39</v>
      </c>
      <c r="K7" s="156"/>
      <c r="L7" s="166">
        <v>50</v>
      </c>
      <c r="M7" s="173">
        <v>412</v>
      </c>
      <c r="N7" s="173">
        <v>41</v>
      </c>
      <c r="O7" s="173">
        <v>224</v>
      </c>
      <c r="P7" s="173">
        <v>249</v>
      </c>
      <c r="Q7" s="173">
        <v>105</v>
      </c>
      <c r="R7" s="173">
        <v>61</v>
      </c>
      <c r="T7" s="168">
        <f t="shared" si="1"/>
        <v>1.5211933244720128</v>
      </c>
      <c r="U7" s="168">
        <f t="shared" si="1"/>
        <v>2.204301075268817</v>
      </c>
      <c r="V7" s="168">
        <f t="shared" si="1"/>
        <v>1.8211382113821137</v>
      </c>
      <c r="W7" s="168">
        <f t="shared" si="1"/>
        <v>1.8109090909090908</v>
      </c>
      <c r="X7" s="168">
        <f t="shared" si="1"/>
        <v>1.5</v>
      </c>
      <c r="Y7" s="168">
        <f t="shared" si="1"/>
        <v>2.2270901788974076</v>
      </c>
    </row>
    <row r="8" spans="1:25">
      <c r="A8" s="163" t="s">
        <v>777</v>
      </c>
      <c r="B8" s="163" t="s">
        <v>21</v>
      </c>
      <c r="C8" s="169" t="s">
        <v>778</v>
      </c>
      <c r="D8" s="164">
        <v>25</v>
      </c>
      <c r="E8" s="170">
        <v>163.68</v>
      </c>
      <c r="F8" s="170">
        <v>64</v>
      </c>
      <c r="G8" s="170">
        <v>81</v>
      </c>
      <c r="H8" s="170">
        <v>90.2</v>
      </c>
      <c r="I8" s="170">
        <v>114.46000000000001</v>
      </c>
      <c r="J8" s="170">
        <v>133.28</v>
      </c>
      <c r="L8" s="166">
        <v>50</v>
      </c>
      <c r="M8" s="173">
        <v>371</v>
      </c>
      <c r="N8" s="173">
        <v>128</v>
      </c>
      <c r="O8" s="173">
        <v>138</v>
      </c>
      <c r="P8" s="173">
        <v>205</v>
      </c>
      <c r="Q8" s="173">
        <v>206</v>
      </c>
      <c r="R8" s="173">
        <v>205</v>
      </c>
      <c r="T8" s="168">
        <f t="shared" si="1"/>
        <v>2.2666177908113392</v>
      </c>
      <c r="U8" s="168">
        <f t="shared" si="1"/>
        <v>2</v>
      </c>
      <c r="V8" s="168">
        <f t="shared" si="1"/>
        <v>1.7037037037037037</v>
      </c>
      <c r="W8" s="168">
        <f t="shared" si="1"/>
        <v>2.2727272727272725</v>
      </c>
      <c r="X8" s="168">
        <f t="shared" si="1"/>
        <v>1.7997553730560893</v>
      </c>
      <c r="Y8" s="168">
        <f t="shared" si="1"/>
        <v>1.5381152460984393</v>
      </c>
    </row>
    <row r="9" spans="1:25">
      <c r="A9" s="163" t="s">
        <v>777</v>
      </c>
      <c r="B9" s="163" t="s">
        <v>22</v>
      </c>
      <c r="C9" s="169" t="s">
        <v>778</v>
      </c>
      <c r="D9" s="164">
        <v>25</v>
      </c>
      <c r="E9" s="170">
        <v>226.92000000000002</v>
      </c>
      <c r="F9" s="170">
        <v>48.64</v>
      </c>
      <c r="G9" s="170">
        <v>63</v>
      </c>
      <c r="H9" s="170">
        <v>78.100000000000009</v>
      </c>
      <c r="I9" s="170">
        <v>122.22</v>
      </c>
      <c r="J9" s="170">
        <v>71.400000000000006</v>
      </c>
      <c r="L9" s="171">
        <v>50</v>
      </c>
      <c r="M9" s="172">
        <v>366</v>
      </c>
      <c r="N9" s="172">
        <v>105</v>
      </c>
      <c r="O9" s="172">
        <v>136</v>
      </c>
      <c r="P9" s="172">
        <v>187</v>
      </c>
      <c r="Q9" s="172">
        <v>200</v>
      </c>
      <c r="R9" s="172">
        <v>168</v>
      </c>
      <c r="T9" s="168">
        <f t="shared" si="1"/>
        <v>1.6129032258064515</v>
      </c>
      <c r="U9" s="168">
        <f t="shared" si="1"/>
        <v>2.158717105263158</v>
      </c>
      <c r="V9" s="168">
        <f t="shared" si="1"/>
        <v>2.1587301587301586</v>
      </c>
      <c r="W9" s="168">
        <f t="shared" si="1"/>
        <v>2.3943661971830985</v>
      </c>
      <c r="X9" s="168">
        <f t="shared" si="1"/>
        <v>1.6363933889707085</v>
      </c>
      <c r="Y9" s="168">
        <f t="shared" si="1"/>
        <v>2.3529411764705879</v>
      </c>
    </row>
    <row r="10" spans="1:25">
      <c r="A10" s="162" t="s">
        <v>236</v>
      </c>
      <c r="B10" s="163" t="s">
        <v>23</v>
      </c>
      <c r="C10" s="162" t="s">
        <v>215</v>
      </c>
      <c r="D10" s="164">
        <v>25</v>
      </c>
      <c r="E10" s="170">
        <v>293.04000000000002</v>
      </c>
      <c r="F10" s="170">
        <v>20.150000000000002</v>
      </c>
      <c r="G10" s="170">
        <v>132.84</v>
      </c>
      <c r="H10" s="170">
        <v>123.2</v>
      </c>
      <c r="I10" s="170">
        <v>29.68</v>
      </c>
      <c r="J10" s="170">
        <v>19.8</v>
      </c>
      <c r="K10" s="156"/>
      <c r="L10" s="166">
        <v>50</v>
      </c>
      <c r="M10" s="173">
        <v>469</v>
      </c>
      <c r="N10" s="173">
        <v>49</v>
      </c>
      <c r="O10" s="173">
        <v>257</v>
      </c>
      <c r="P10" s="173">
        <v>202</v>
      </c>
      <c r="Q10" s="173">
        <v>72</v>
      </c>
      <c r="R10" s="173">
        <v>39</v>
      </c>
      <c r="T10" s="168">
        <f t="shared" si="1"/>
        <v>1.6004641004641003</v>
      </c>
      <c r="U10" s="168">
        <f t="shared" si="1"/>
        <v>2.4317617866004961</v>
      </c>
      <c r="V10" s="168">
        <f t="shared" si="1"/>
        <v>1.9346582354712436</v>
      </c>
      <c r="W10" s="168">
        <f t="shared" si="1"/>
        <v>1.6396103896103895</v>
      </c>
      <c r="X10" s="168">
        <f t="shared" si="1"/>
        <v>2.4258760107816713</v>
      </c>
      <c r="Y10" s="168">
        <f t="shared" si="1"/>
        <v>1.9696969696969697</v>
      </c>
    </row>
    <row r="11" spans="1:25">
      <c r="A11" s="163" t="s">
        <v>779</v>
      </c>
      <c r="B11" s="163" t="s">
        <v>24</v>
      </c>
      <c r="C11" s="163" t="s">
        <v>780</v>
      </c>
      <c r="D11" s="164">
        <v>25</v>
      </c>
      <c r="E11" s="170">
        <v>111.3</v>
      </c>
      <c r="F11" s="170">
        <v>42.24</v>
      </c>
      <c r="G11" s="170">
        <v>145.77000000000001</v>
      </c>
      <c r="H11" s="170">
        <v>123.2</v>
      </c>
      <c r="I11" s="170">
        <v>33.799999999999997</v>
      </c>
      <c r="J11" s="170">
        <v>69.760000000000005</v>
      </c>
      <c r="L11" s="166">
        <v>50</v>
      </c>
      <c r="M11" s="173">
        <v>252</v>
      </c>
      <c r="N11" s="173">
        <v>77</v>
      </c>
      <c r="O11" s="173">
        <v>221</v>
      </c>
      <c r="P11" s="173">
        <v>189</v>
      </c>
      <c r="Q11" s="173">
        <v>75</v>
      </c>
      <c r="R11" s="173">
        <v>126</v>
      </c>
      <c r="T11" s="168">
        <f t="shared" si="1"/>
        <v>2.2641509433962264</v>
      </c>
      <c r="U11" s="168">
        <f t="shared" si="1"/>
        <v>1.8229166666666665</v>
      </c>
      <c r="V11" s="168">
        <f t="shared" si="1"/>
        <v>1.5160869863483568</v>
      </c>
      <c r="W11" s="168">
        <f t="shared" si="1"/>
        <v>1.5340909090909089</v>
      </c>
      <c r="X11" s="168">
        <f t="shared" si="1"/>
        <v>2.2189349112426036</v>
      </c>
      <c r="Y11" s="168">
        <f t="shared" si="1"/>
        <v>1.8061926605504586</v>
      </c>
    </row>
    <row r="12" spans="1:25">
      <c r="A12" s="163" t="s">
        <v>777</v>
      </c>
      <c r="B12" s="163" t="s">
        <v>25</v>
      </c>
      <c r="C12" s="169" t="s">
        <v>778</v>
      </c>
      <c r="D12" s="164">
        <v>25</v>
      </c>
      <c r="E12" s="170">
        <v>213.9</v>
      </c>
      <c r="F12" s="170">
        <v>48</v>
      </c>
      <c r="G12" s="170">
        <v>87.75</v>
      </c>
      <c r="H12" s="170">
        <v>83.600000000000009</v>
      </c>
      <c r="I12" s="170">
        <v>95.06</v>
      </c>
      <c r="J12" s="170">
        <v>77.350000000000009</v>
      </c>
      <c r="L12" s="171">
        <v>50</v>
      </c>
      <c r="M12" s="172">
        <v>413</v>
      </c>
      <c r="N12" s="172">
        <v>105</v>
      </c>
      <c r="O12" s="172">
        <v>159</v>
      </c>
      <c r="P12" s="172">
        <v>202</v>
      </c>
      <c r="Q12" s="172">
        <v>158</v>
      </c>
      <c r="R12" s="172">
        <v>185</v>
      </c>
      <c r="T12" s="168">
        <f t="shared" si="1"/>
        <v>1.9308087891538102</v>
      </c>
      <c r="U12" s="168">
        <f t="shared" si="1"/>
        <v>2.1875</v>
      </c>
      <c r="V12" s="168">
        <f t="shared" si="1"/>
        <v>1.811965811965812</v>
      </c>
      <c r="W12" s="168">
        <f t="shared" si="1"/>
        <v>2.4162679425837319</v>
      </c>
      <c r="X12" s="168">
        <f t="shared" si="1"/>
        <v>1.6621081422259625</v>
      </c>
      <c r="Y12" s="168">
        <f t="shared" si="1"/>
        <v>2.3917259211376858</v>
      </c>
    </row>
    <row r="13" spans="1:25">
      <c r="A13" s="163" t="s">
        <v>777</v>
      </c>
      <c r="B13" s="163" t="s">
        <v>26</v>
      </c>
      <c r="C13" s="169" t="s">
        <v>778</v>
      </c>
      <c r="D13" s="164">
        <v>25</v>
      </c>
      <c r="E13" s="170">
        <v>210.18</v>
      </c>
      <c r="F13" s="170">
        <v>51.84</v>
      </c>
      <c r="G13" s="170">
        <v>75</v>
      </c>
      <c r="H13" s="170">
        <v>114.4</v>
      </c>
      <c r="I13" s="170">
        <v>114.46000000000001</v>
      </c>
      <c r="J13" s="170">
        <v>101.15</v>
      </c>
      <c r="K13" s="156"/>
      <c r="L13" s="166">
        <v>50</v>
      </c>
      <c r="M13" s="173">
        <v>319</v>
      </c>
      <c r="N13" s="173">
        <v>132</v>
      </c>
      <c r="O13" s="173">
        <v>152</v>
      </c>
      <c r="P13" s="173">
        <v>174</v>
      </c>
      <c r="Q13" s="173">
        <v>206</v>
      </c>
      <c r="R13" s="173">
        <v>230</v>
      </c>
      <c r="T13" s="168">
        <f t="shared" si="1"/>
        <v>1.5177466933104957</v>
      </c>
      <c r="U13" s="168">
        <f t="shared" si="1"/>
        <v>2.5462962962962963</v>
      </c>
      <c r="V13" s="168">
        <f t="shared" si="1"/>
        <v>2.0266666666666668</v>
      </c>
      <c r="W13" s="168">
        <f t="shared" si="1"/>
        <v>1.5209790209790208</v>
      </c>
      <c r="X13" s="168">
        <f t="shared" si="1"/>
        <v>1.7997553730560893</v>
      </c>
      <c r="Y13" s="168">
        <f t="shared" si="1"/>
        <v>2.2738507167572912</v>
      </c>
    </row>
    <row r="14" spans="1:25">
      <c r="A14" s="163" t="s">
        <v>777</v>
      </c>
      <c r="B14" s="163" t="s">
        <v>326</v>
      </c>
      <c r="C14" s="169" t="s">
        <v>778</v>
      </c>
      <c r="D14" s="164">
        <v>25</v>
      </c>
      <c r="E14" s="170">
        <v>171.12</v>
      </c>
      <c r="F14" s="170">
        <v>45.44</v>
      </c>
      <c r="G14" s="170">
        <v>66</v>
      </c>
      <c r="H14" s="170">
        <v>92.4</v>
      </c>
      <c r="I14" s="170">
        <v>124.16</v>
      </c>
      <c r="J14" s="170">
        <v>99.960000000000008</v>
      </c>
      <c r="K14" s="156"/>
      <c r="L14" s="166">
        <v>50</v>
      </c>
      <c r="M14" s="173">
        <v>330</v>
      </c>
      <c r="N14" s="173">
        <v>120</v>
      </c>
      <c r="O14" s="173">
        <v>142</v>
      </c>
      <c r="P14" s="173">
        <v>156</v>
      </c>
      <c r="Q14" s="173">
        <v>200</v>
      </c>
      <c r="R14" s="173">
        <v>194</v>
      </c>
      <c r="T14" s="168">
        <f t="shared" si="1"/>
        <v>1.9284712482468442</v>
      </c>
      <c r="U14" s="168">
        <f t="shared" si="1"/>
        <v>2.6408450704225355</v>
      </c>
      <c r="V14" s="168">
        <f t="shared" si="1"/>
        <v>2.1515151515151514</v>
      </c>
      <c r="W14" s="168">
        <f t="shared" si="1"/>
        <v>1.6883116883116882</v>
      </c>
      <c r="X14" s="168">
        <f t="shared" si="1"/>
        <v>1.6108247422680413</v>
      </c>
      <c r="Y14" s="168">
        <f t="shared" si="1"/>
        <v>1.9407763105242095</v>
      </c>
    </row>
    <row r="15" spans="1:25">
      <c r="A15" s="162" t="s">
        <v>236</v>
      </c>
      <c r="B15" s="163" t="s">
        <v>29</v>
      </c>
      <c r="C15" s="162" t="s">
        <v>215</v>
      </c>
      <c r="D15" s="164">
        <v>25</v>
      </c>
      <c r="E15" s="170">
        <v>230.88</v>
      </c>
      <c r="F15" s="170">
        <v>22.01</v>
      </c>
      <c r="G15" s="170">
        <v>150.06</v>
      </c>
      <c r="H15" s="170">
        <v>66</v>
      </c>
      <c r="I15" s="170">
        <v>61.04</v>
      </c>
      <c r="J15" s="170">
        <v>30.69</v>
      </c>
      <c r="K15" s="156"/>
      <c r="L15" s="166">
        <v>50</v>
      </c>
      <c r="M15" s="173">
        <v>376</v>
      </c>
      <c r="N15" s="173">
        <v>53</v>
      </c>
      <c r="O15" s="173">
        <v>244</v>
      </c>
      <c r="P15" s="173">
        <v>155</v>
      </c>
      <c r="Q15" s="173">
        <v>118</v>
      </c>
      <c r="R15" s="173">
        <v>59</v>
      </c>
      <c r="T15" s="168">
        <f t="shared" si="1"/>
        <v>1.6285516285516286</v>
      </c>
      <c r="U15" s="168">
        <f t="shared" si="1"/>
        <v>2.407996365288505</v>
      </c>
      <c r="V15" s="168">
        <f t="shared" si="1"/>
        <v>1.6260162601626016</v>
      </c>
      <c r="W15" s="168">
        <f t="shared" si="1"/>
        <v>2.3484848484848486</v>
      </c>
      <c r="X15" s="168">
        <f t="shared" si="1"/>
        <v>1.9331585845347314</v>
      </c>
      <c r="Y15" s="168">
        <f t="shared" si="1"/>
        <v>1.9224503095470837</v>
      </c>
    </row>
    <row r="16" spans="1:25">
      <c r="A16" s="162" t="s">
        <v>236</v>
      </c>
      <c r="B16" s="163" t="s">
        <v>30</v>
      </c>
      <c r="C16" s="162" t="s">
        <v>215</v>
      </c>
      <c r="D16" s="164">
        <v>25</v>
      </c>
      <c r="E16" s="170">
        <v>157.62</v>
      </c>
      <c r="F16" s="170">
        <v>29.45</v>
      </c>
      <c r="G16" s="170">
        <v>153.75</v>
      </c>
      <c r="H16" s="170">
        <v>90.2</v>
      </c>
      <c r="I16" s="170">
        <v>59.36</v>
      </c>
      <c r="J16" s="170">
        <v>27.72</v>
      </c>
      <c r="K16" s="156"/>
      <c r="L16" s="166">
        <v>50</v>
      </c>
      <c r="M16" s="173">
        <v>345</v>
      </c>
      <c r="N16" s="173">
        <v>51</v>
      </c>
      <c r="O16" s="173">
        <v>289</v>
      </c>
      <c r="P16" s="173">
        <v>152</v>
      </c>
      <c r="Q16" s="173">
        <v>116</v>
      </c>
      <c r="R16" s="173">
        <v>47</v>
      </c>
      <c r="T16" s="168">
        <f t="shared" si="1"/>
        <v>2.1888085268366959</v>
      </c>
      <c r="U16" s="168">
        <f t="shared" si="1"/>
        <v>1.7317487266553482</v>
      </c>
      <c r="V16" s="168">
        <f t="shared" si="1"/>
        <v>1.8796747967479674</v>
      </c>
      <c r="W16" s="168">
        <f t="shared" si="1"/>
        <v>1.6851441241685143</v>
      </c>
      <c r="X16" s="168">
        <f t="shared" si="1"/>
        <v>1.954177897574124</v>
      </c>
      <c r="Y16" s="168">
        <f t="shared" si="1"/>
        <v>1.6955266955266957</v>
      </c>
    </row>
    <row r="17" spans="1:25">
      <c r="A17" s="163" t="s">
        <v>777</v>
      </c>
      <c r="B17" s="163" t="s">
        <v>31</v>
      </c>
      <c r="C17" s="169" t="s">
        <v>778</v>
      </c>
      <c r="D17" s="164">
        <v>25</v>
      </c>
      <c r="E17" s="170">
        <v>202.74</v>
      </c>
      <c r="F17" s="170">
        <v>53.76</v>
      </c>
      <c r="G17" s="170">
        <v>84</v>
      </c>
      <c r="H17" s="170">
        <v>137.5</v>
      </c>
      <c r="I17" s="170">
        <v>51.410000000000004</v>
      </c>
      <c r="J17" s="170">
        <v>63.07</v>
      </c>
      <c r="L17" s="166">
        <v>50</v>
      </c>
      <c r="M17" s="173">
        <v>385</v>
      </c>
      <c r="N17" s="173">
        <v>100</v>
      </c>
      <c r="O17" s="173">
        <v>154</v>
      </c>
      <c r="P17" s="173">
        <v>263</v>
      </c>
      <c r="Q17" s="173">
        <v>123</v>
      </c>
      <c r="R17" s="173">
        <v>151</v>
      </c>
      <c r="T17" s="168">
        <f t="shared" si="1"/>
        <v>1.8989839202919996</v>
      </c>
      <c r="U17" s="168">
        <f t="shared" si="1"/>
        <v>1.8601190476190477</v>
      </c>
      <c r="V17" s="168">
        <f t="shared" si="1"/>
        <v>1.8333333333333333</v>
      </c>
      <c r="W17" s="168">
        <f t="shared" si="1"/>
        <v>1.9127272727272728</v>
      </c>
      <c r="X17" s="168">
        <f t="shared" si="1"/>
        <v>2.3925306360630225</v>
      </c>
      <c r="Y17" s="168">
        <f t="shared" si="1"/>
        <v>2.3941652132551132</v>
      </c>
    </row>
    <row r="18" spans="1:25">
      <c r="A18" s="162" t="s">
        <v>236</v>
      </c>
      <c r="B18" s="163" t="s">
        <v>32</v>
      </c>
      <c r="C18" s="162" t="s">
        <v>215</v>
      </c>
      <c r="D18" s="164">
        <v>25</v>
      </c>
      <c r="E18" s="170">
        <v>259.74</v>
      </c>
      <c r="F18" s="170">
        <v>29.76</v>
      </c>
      <c r="G18" s="170">
        <v>127.92</v>
      </c>
      <c r="H18" s="170">
        <v>123.2</v>
      </c>
      <c r="I18" s="170">
        <v>52.08</v>
      </c>
      <c r="J18" s="170">
        <v>25.41</v>
      </c>
      <c r="K18" s="156"/>
      <c r="L18" s="166">
        <v>50</v>
      </c>
      <c r="M18" s="173">
        <v>468</v>
      </c>
      <c r="N18" s="173">
        <v>45</v>
      </c>
      <c r="O18" s="173">
        <v>233</v>
      </c>
      <c r="P18" s="173">
        <v>179</v>
      </c>
      <c r="Q18" s="173">
        <v>94</v>
      </c>
      <c r="R18" s="173">
        <v>57</v>
      </c>
      <c r="T18" s="168">
        <f t="shared" si="1"/>
        <v>1.8018018018018018</v>
      </c>
      <c r="U18" s="168">
        <f t="shared" si="1"/>
        <v>1.5120967741935483</v>
      </c>
      <c r="V18" s="168">
        <f t="shared" si="1"/>
        <v>1.8214509068167604</v>
      </c>
      <c r="W18" s="168">
        <f t="shared" si="1"/>
        <v>1.4529220779220779</v>
      </c>
      <c r="X18" s="168">
        <f t="shared" si="1"/>
        <v>1.8049155145929341</v>
      </c>
      <c r="Y18" s="168">
        <f t="shared" si="1"/>
        <v>2.2432113341204252</v>
      </c>
    </row>
    <row r="19" spans="1:25">
      <c r="A19" s="162" t="s">
        <v>236</v>
      </c>
      <c r="B19" s="163" t="s">
        <v>33</v>
      </c>
      <c r="C19" s="162" t="s">
        <v>215</v>
      </c>
      <c r="D19" s="164">
        <v>25</v>
      </c>
      <c r="E19" s="170">
        <v>188.70000000000002</v>
      </c>
      <c r="F19" s="170">
        <v>22.01</v>
      </c>
      <c r="G19" s="170">
        <v>137.76</v>
      </c>
      <c r="H19" s="170">
        <v>100.10000000000001</v>
      </c>
      <c r="I19" s="170">
        <v>50.4</v>
      </c>
      <c r="J19" s="170">
        <v>43.230000000000004</v>
      </c>
      <c r="K19" s="156"/>
      <c r="L19" s="166">
        <v>50</v>
      </c>
      <c r="M19" s="173">
        <v>287</v>
      </c>
      <c r="N19" s="173">
        <v>50</v>
      </c>
      <c r="O19" s="173">
        <v>212</v>
      </c>
      <c r="P19" s="173">
        <v>183</v>
      </c>
      <c r="Q19" s="173">
        <v>113</v>
      </c>
      <c r="R19" s="173">
        <v>80</v>
      </c>
      <c r="T19" s="168">
        <f t="shared" si="1"/>
        <v>1.5209326974032855</v>
      </c>
      <c r="U19" s="168">
        <f t="shared" si="1"/>
        <v>2.2716946842344385</v>
      </c>
      <c r="V19" s="168">
        <f t="shared" si="1"/>
        <v>1.5389082462253194</v>
      </c>
      <c r="W19" s="168">
        <f t="shared" si="1"/>
        <v>1.828171828171828</v>
      </c>
      <c r="X19" s="168">
        <f t="shared" si="1"/>
        <v>2.2420634920634921</v>
      </c>
      <c r="Y19" s="168">
        <f t="shared" si="1"/>
        <v>1.850566736062919</v>
      </c>
    </row>
    <row r="20" spans="1:25">
      <c r="A20" s="162" t="s">
        <v>236</v>
      </c>
      <c r="B20" s="163" t="s">
        <v>34</v>
      </c>
      <c r="C20" s="162" t="s">
        <v>215</v>
      </c>
      <c r="D20" s="164">
        <v>25</v>
      </c>
      <c r="E20" s="170">
        <v>239.76</v>
      </c>
      <c r="F20" s="170">
        <v>18.29</v>
      </c>
      <c r="G20" s="170">
        <v>132.84</v>
      </c>
      <c r="H20" s="170">
        <v>156.20000000000002</v>
      </c>
      <c r="I20" s="170">
        <v>38.08</v>
      </c>
      <c r="J20" s="170">
        <v>33.99</v>
      </c>
      <c r="K20" s="156"/>
      <c r="L20" s="166">
        <v>50</v>
      </c>
      <c r="M20" s="173">
        <v>435</v>
      </c>
      <c r="N20" s="173">
        <v>41</v>
      </c>
      <c r="O20" s="173">
        <v>242</v>
      </c>
      <c r="P20" s="173">
        <v>236</v>
      </c>
      <c r="Q20" s="173">
        <v>85</v>
      </c>
      <c r="R20" s="173">
        <v>52</v>
      </c>
      <c r="T20" s="168">
        <f t="shared" si="1"/>
        <v>1.8143143143143143</v>
      </c>
      <c r="U20" s="168">
        <f t="shared" si="1"/>
        <v>2.2416621104428649</v>
      </c>
      <c r="V20" s="168">
        <f t="shared" si="1"/>
        <v>1.8217404396266184</v>
      </c>
      <c r="W20" s="168">
        <f t="shared" si="1"/>
        <v>1.5108834827144684</v>
      </c>
      <c r="X20" s="168">
        <f t="shared" si="1"/>
        <v>2.2321428571428572</v>
      </c>
      <c r="Y20" s="168">
        <f t="shared" si="1"/>
        <v>1.5298617240364811</v>
      </c>
    </row>
    <row r="21" spans="1:25">
      <c r="A21" s="162" t="s">
        <v>236</v>
      </c>
      <c r="B21" s="163" t="s">
        <v>35</v>
      </c>
      <c r="C21" s="162" t="s">
        <v>215</v>
      </c>
      <c r="D21" s="164">
        <v>25</v>
      </c>
      <c r="E21" s="170">
        <v>228.66</v>
      </c>
      <c r="F21" s="170">
        <v>25.73</v>
      </c>
      <c r="G21" s="170">
        <v>163.59</v>
      </c>
      <c r="H21" s="170">
        <v>90.2</v>
      </c>
      <c r="I21" s="170">
        <v>42</v>
      </c>
      <c r="J21" s="170">
        <v>21.45</v>
      </c>
      <c r="K21" s="156"/>
      <c r="L21" s="166">
        <v>50</v>
      </c>
      <c r="M21" s="173">
        <v>376</v>
      </c>
      <c r="N21" s="173">
        <v>44</v>
      </c>
      <c r="O21" s="173">
        <v>312</v>
      </c>
      <c r="P21" s="173">
        <v>217</v>
      </c>
      <c r="Q21" s="173">
        <v>83</v>
      </c>
      <c r="R21" s="173">
        <v>51</v>
      </c>
      <c r="T21" s="168">
        <f t="shared" si="1"/>
        <v>1.6443628094113532</v>
      </c>
      <c r="U21" s="168">
        <f t="shared" si="1"/>
        <v>1.710066070734551</v>
      </c>
      <c r="V21" s="168">
        <f t="shared" si="1"/>
        <v>1.9072070419952318</v>
      </c>
      <c r="W21" s="168">
        <f t="shared" si="1"/>
        <v>2.4057649667405765</v>
      </c>
      <c r="X21" s="168">
        <f t="shared" si="1"/>
        <v>1.9761904761904763</v>
      </c>
      <c r="Y21" s="168">
        <f t="shared" si="1"/>
        <v>2.3776223776223775</v>
      </c>
    </row>
    <row r="22" spans="1:25">
      <c r="A22" s="163" t="s">
        <v>777</v>
      </c>
      <c r="B22" s="163" t="s">
        <v>36</v>
      </c>
      <c r="C22" s="169" t="s">
        <v>778</v>
      </c>
      <c r="D22" s="164">
        <v>25</v>
      </c>
      <c r="E22" s="170">
        <v>130.19999999999999</v>
      </c>
      <c r="F22" s="170">
        <v>78.72</v>
      </c>
      <c r="G22" s="170">
        <v>75</v>
      </c>
      <c r="H22" s="170">
        <v>92.4</v>
      </c>
      <c r="I22" s="170">
        <v>89.24</v>
      </c>
      <c r="J22" s="170">
        <v>128.52000000000001</v>
      </c>
      <c r="K22" s="156"/>
      <c r="L22" s="166">
        <v>50</v>
      </c>
      <c r="M22" s="173">
        <v>293</v>
      </c>
      <c r="N22" s="173">
        <v>132</v>
      </c>
      <c r="O22" s="173">
        <v>152</v>
      </c>
      <c r="P22" s="173">
        <v>143</v>
      </c>
      <c r="Q22" s="173">
        <v>162</v>
      </c>
      <c r="R22" s="173">
        <v>234</v>
      </c>
      <c r="T22" s="168">
        <f t="shared" si="1"/>
        <v>2.2503840245775732</v>
      </c>
      <c r="U22" s="168">
        <f t="shared" si="1"/>
        <v>1.6768292682926829</v>
      </c>
      <c r="V22" s="168">
        <f t="shared" si="1"/>
        <v>2.0266666666666668</v>
      </c>
      <c r="W22" s="168">
        <f t="shared" si="1"/>
        <v>1.5476190476190474</v>
      </c>
      <c r="X22" s="168">
        <f t="shared" si="1"/>
        <v>1.8153294486777232</v>
      </c>
      <c r="Y22" s="168">
        <f t="shared" si="1"/>
        <v>1.8207282913165264</v>
      </c>
    </row>
    <row r="23" spans="1:25">
      <c r="A23" s="162" t="s">
        <v>236</v>
      </c>
      <c r="B23" s="163" t="s">
        <v>37</v>
      </c>
      <c r="C23" s="162" t="s">
        <v>215</v>
      </c>
      <c r="D23" s="164">
        <v>25</v>
      </c>
      <c r="E23" s="170">
        <v>222</v>
      </c>
      <c r="F23" s="170">
        <v>43.4</v>
      </c>
      <c r="G23" s="170">
        <v>113.16</v>
      </c>
      <c r="H23" s="170">
        <v>70.400000000000006</v>
      </c>
      <c r="I23" s="170">
        <v>63.84</v>
      </c>
      <c r="J23" s="170">
        <v>25.080000000000002</v>
      </c>
      <c r="K23" s="156"/>
      <c r="L23" s="166">
        <v>50</v>
      </c>
      <c r="M23" s="173">
        <v>401</v>
      </c>
      <c r="N23" s="173">
        <v>68</v>
      </c>
      <c r="O23" s="173">
        <v>225</v>
      </c>
      <c r="P23" s="173">
        <v>158</v>
      </c>
      <c r="Q23" s="173">
        <v>97</v>
      </c>
      <c r="R23" s="173">
        <v>62</v>
      </c>
      <c r="T23" s="168">
        <f t="shared" si="1"/>
        <v>1.8063063063063063</v>
      </c>
      <c r="U23" s="168">
        <f t="shared" si="1"/>
        <v>1.566820276497696</v>
      </c>
      <c r="V23" s="168">
        <f t="shared" si="1"/>
        <v>1.9883351007423118</v>
      </c>
      <c r="W23" s="168">
        <f t="shared" si="1"/>
        <v>2.2443181818181817</v>
      </c>
      <c r="X23" s="168">
        <f t="shared" si="1"/>
        <v>1.5194235588972431</v>
      </c>
      <c r="Y23" s="168">
        <f t="shared" si="1"/>
        <v>2.472089314194577</v>
      </c>
    </row>
    <row r="24" spans="1:25">
      <c r="A24" s="163" t="s">
        <v>777</v>
      </c>
      <c r="B24" s="163" t="s">
        <v>38</v>
      </c>
      <c r="C24" s="169" t="s">
        <v>778</v>
      </c>
      <c r="D24" s="164">
        <v>25</v>
      </c>
      <c r="E24" s="170">
        <v>191.58</v>
      </c>
      <c r="F24" s="170">
        <v>46.08</v>
      </c>
      <c r="G24" s="170">
        <v>75</v>
      </c>
      <c r="H24" s="170">
        <v>118.8</v>
      </c>
      <c r="I24" s="170">
        <v>102.82000000000001</v>
      </c>
      <c r="J24" s="170">
        <v>97.58</v>
      </c>
      <c r="L24" s="166">
        <v>50</v>
      </c>
      <c r="M24" s="173">
        <v>293</v>
      </c>
      <c r="N24" s="173">
        <v>112</v>
      </c>
      <c r="O24" s="173">
        <v>152</v>
      </c>
      <c r="P24" s="173">
        <v>216</v>
      </c>
      <c r="Q24" s="173">
        <v>154</v>
      </c>
      <c r="R24" s="173">
        <v>221</v>
      </c>
      <c r="T24" s="168">
        <f t="shared" si="1"/>
        <v>1.5293872011692242</v>
      </c>
      <c r="U24" s="168">
        <f t="shared" si="1"/>
        <v>2.4305555555555558</v>
      </c>
      <c r="V24" s="168">
        <f t="shared" si="1"/>
        <v>2.0266666666666668</v>
      </c>
      <c r="W24" s="168">
        <f t="shared" si="1"/>
        <v>1.8181818181818181</v>
      </c>
      <c r="X24" s="168">
        <f t="shared" si="1"/>
        <v>1.4977630811126239</v>
      </c>
      <c r="Y24" s="168">
        <f t="shared" si="1"/>
        <v>2.264808362369338</v>
      </c>
    </row>
    <row r="25" spans="1:25">
      <c r="A25" s="163" t="s">
        <v>777</v>
      </c>
      <c r="B25" s="163" t="s">
        <v>40</v>
      </c>
      <c r="C25" s="169" t="s">
        <v>778</v>
      </c>
      <c r="D25" s="164">
        <v>25</v>
      </c>
      <c r="E25" s="170">
        <v>143.22</v>
      </c>
      <c r="F25" s="170">
        <v>40.96</v>
      </c>
      <c r="G25" s="170">
        <v>69</v>
      </c>
      <c r="H25" s="170">
        <v>103.4</v>
      </c>
      <c r="I25" s="170">
        <v>114.46000000000001</v>
      </c>
      <c r="J25" s="170">
        <v>134.47</v>
      </c>
      <c r="L25" s="166">
        <v>50</v>
      </c>
      <c r="M25" s="173">
        <v>319</v>
      </c>
      <c r="N25" s="173">
        <v>102</v>
      </c>
      <c r="O25" s="173">
        <v>139</v>
      </c>
      <c r="P25" s="173">
        <v>158</v>
      </c>
      <c r="Q25" s="173">
        <v>206</v>
      </c>
      <c r="R25" s="173">
        <v>205</v>
      </c>
      <c r="T25" s="168">
        <f t="shared" si="1"/>
        <v>2.2273425499231951</v>
      </c>
      <c r="U25" s="168">
        <f t="shared" si="1"/>
        <v>2.490234375</v>
      </c>
      <c r="V25" s="168">
        <f t="shared" si="1"/>
        <v>2.0144927536231885</v>
      </c>
      <c r="W25" s="168">
        <f t="shared" si="1"/>
        <v>1.5280464216634428</v>
      </c>
      <c r="X25" s="168">
        <f t="shared" si="1"/>
        <v>1.7997553730560893</v>
      </c>
      <c r="Y25" s="168">
        <f t="shared" si="1"/>
        <v>1.5245036067524356</v>
      </c>
    </row>
    <row r="26" spans="1:25">
      <c r="A26" s="162" t="s">
        <v>236</v>
      </c>
      <c r="B26" s="163" t="s">
        <v>39</v>
      </c>
      <c r="C26" s="162" t="s">
        <v>215</v>
      </c>
      <c r="D26" s="164">
        <v>25</v>
      </c>
      <c r="E26" s="170">
        <v>157.62</v>
      </c>
      <c r="F26" s="170">
        <v>28.52</v>
      </c>
      <c r="G26" s="170">
        <v>118.08</v>
      </c>
      <c r="H26" s="170">
        <v>118.8</v>
      </c>
      <c r="I26" s="170">
        <v>64.400000000000006</v>
      </c>
      <c r="J26" s="170">
        <v>46.86</v>
      </c>
      <c r="K26" s="156"/>
      <c r="L26" s="166">
        <v>50</v>
      </c>
      <c r="M26" s="173">
        <v>350</v>
      </c>
      <c r="N26" s="173">
        <v>52</v>
      </c>
      <c r="O26" s="173">
        <v>214</v>
      </c>
      <c r="P26" s="173">
        <v>205</v>
      </c>
      <c r="Q26" s="173">
        <v>97</v>
      </c>
      <c r="R26" s="173">
        <v>71</v>
      </c>
      <c r="T26" s="168">
        <f t="shared" si="1"/>
        <v>2.2205303895444741</v>
      </c>
      <c r="U26" s="168">
        <f t="shared" si="1"/>
        <v>1.8232819074333801</v>
      </c>
      <c r="V26" s="168">
        <f t="shared" si="1"/>
        <v>1.8123306233062331</v>
      </c>
      <c r="W26" s="168">
        <f t="shared" si="1"/>
        <v>1.7255892255892256</v>
      </c>
      <c r="X26" s="168">
        <f t="shared" si="1"/>
        <v>1.5062111801242235</v>
      </c>
      <c r="Y26" s="168">
        <f t="shared" si="1"/>
        <v>1.5151515151515151</v>
      </c>
    </row>
    <row r="27" spans="1:25">
      <c r="A27" s="163" t="s">
        <v>777</v>
      </c>
      <c r="B27" s="163" t="s">
        <v>42</v>
      </c>
      <c r="C27" s="169" t="s">
        <v>778</v>
      </c>
      <c r="D27" s="164">
        <v>25</v>
      </c>
      <c r="E27" s="170">
        <v>174.84</v>
      </c>
      <c r="F27" s="170">
        <v>51.84</v>
      </c>
      <c r="G27" s="170">
        <v>75</v>
      </c>
      <c r="H27" s="170">
        <v>84.7</v>
      </c>
      <c r="I27" s="170">
        <v>102.82000000000001</v>
      </c>
      <c r="J27" s="170">
        <v>89.25</v>
      </c>
      <c r="L27" s="171">
        <v>50</v>
      </c>
      <c r="M27" s="172">
        <v>288</v>
      </c>
      <c r="N27" s="172">
        <v>140</v>
      </c>
      <c r="O27" s="172">
        <v>161</v>
      </c>
      <c r="P27" s="172">
        <v>202</v>
      </c>
      <c r="Q27" s="172">
        <v>165</v>
      </c>
      <c r="R27" s="172">
        <v>176</v>
      </c>
      <c r="T27" s="168">
        <f t="shared" si="1"/>
        <v>1.6472203157172272</v>
      </c>
      <c r="U27" s="168">
        <f t="shared" si="1"/>
        <v>2.7006172839506171</v>
      </c>
      <c r="V27" s="168">
        <f t="shared" si="1"/>
        <v>2.1466666666666665</v>
      </c>
      <c r="W27" s="168">
        <f t="shared" si="1"/>
        <v>2.384887839433294</v>
      </c>
      <c r="X27" s="168">
        <f t="shared" si="1"/>
        <v>1.6047461583349543</v>
      </c>
      <c r="Y27" s="168">
        <f t="shared" si="1"/>
        <v>1.9719887955182074</v>
      </c>
    </row>
    <row r="28" spans="1:25">
      <c r="A28" s="162" t="s">
        <v>236</v>
      </c>
      <c r="B28" s="163" t="s">
        <v>44</v>
      </c>
      <c r="C28" s="162" t="s">
        <v>215</v>
      </c>
      <c r="D28" s="164">
        <v>25</v>
      </c>
      <c r="E28" s="170">
        <v>270.84000000000003</v>
      </c>
      <c r="F28" s="170">
        <v>20.150000000000002</v>
      </c>
      <c r="G28" s="170">
        <v>153.75</v>
      </c>
      <c r="H28" s="170">
        <v>78.100000000000009</v>
      </c>
      <c r="I28" s="170">
        <v>53.2</v>
      </c>
      <c r="J28" s="170">
        <v>24.75</v>
      </c>
      <c r="K28" s="156"/>
      <c r="L28" s="166">
        <v>50</v>
      </c>
      <c r="M28" s="173">
        <v>437</v>
      </c>
      <c r="N28" s="173">
        <v>49</v>
      </c>
      <c r="O28" s="173">
        <v>294</v>
      </c>
      <c r="P28" s="173">
        <v>187</v>
      </c>
      <c r="Q28" s="173">
        <v>88</v>
      </c>
      <c r="R28" s="173">
        <v>49</v>
      </c>
      <c r="T28" s="168">
        <f t="shared" si="1"/>
        <v>1.6134987446462854</v>
      </c>
      <c r="U28" s="168">
        <f t="shared" si="1"/>
        <v>2.4317617866004961</v>
      </c>
      <c r="V28" s="168">
        <f t="shared" si="1"/>
        <v>1.9121951219512194</v>
      </c>
      <c r="W28" s="168">
        <f t="shared" si="1"/>
        <v>2.3943661971830985</v>
      </c>
      <c r="X28" s="168">
        <f t="shared" si="1"/>
        <v>1.6541353383458646</v>
      </c>
      <c r="Y28" s="168">
        <f t="shared" si="1"/>
        <v>1.9797979797979799</v>
      </c>
    </row>
    <row r="29" spans="1:25">
      <c r="A29" s="162" t="s">
        <v>236</v>
      </c>
      <c r="B29" s="163" t="s">
        <v>45</v>
      </c>
      <c r="C29" s="162" t="s">
        <v>215</v>
      </c>
      <c r="D29" s="164">
        <v>25</v>
      </c>
      <c r="E29" s="170">
        <v>259.74</v>
      </c>
      <c r="F29" s="170">
        <v>29.76</v>
      </c>
      <c r="G29" s="170">
        <v>145.14000000000001</v>
      </c>
      <c r="H29" s="170">
        <v>110</v>
      </c>
      <c r="I29" s="170">
        <v>36.4</v>
      </c>
      <c r="J29" s="170">
        <v>30.69</v>
      </c>
      <c r="K29" s="156"/>
      <c r="L29" s="166">
        <v>50</v>
      </c>
      <c r="M29" s="173">
        <v>468</v>
      </c>
      <c r="N29" s="173">
        <v>45</v>
      </c>
      <c r="O29" s="173">
        <v>221</v>
      </c>
      <c r="P29" s="173">
        <v>252</v>
      </c>
      <c r="Q29" s="173">
        <v>81</v>
      </c>
      <c r="R29" s="173">
        <v>55</v>
      </c>
      <c r="T29" s="168">
        <f t="shared" si="1"/>
        <v>1.8018018018018018</v>
      </c>
      <c r="U29" s="168">
        <f t="shared" si="1"/>
        <v>1.5120967741935483</v>
      </c>
      <c r="V29" s="168">
        <f t="shared" si="1"/>
        <v>1.5226677690505717</v>
      </c>
      <c r="W29" s="168">
        <f t="shared" si="1"/>
        <v>2.290909090909091</v>
      </c>
      <c r="X29" s="168">
        <f t="shared" si="1"/>
        <v>2.2252747252747254</v>
      </c>
      <c r="Y29" s="168">
        <f t="shared" si="1"/>
        <v>1.7921146953405016</v>
      </c>
    </row>
    <row r="30" spans="1:25">
      <c r="A30" s="163" t="s">
        <v>779</v>
      </c>
      <c r="B30" s="163" t="s">
        <v>46</v>
      </c>
      <c r="C30" s="163" t="s">
        <v>780</v>
      </c>
      <c r="D30" s="164">
        <v>25</v>
      </c>
      <c r="E30" s="170">
        <v>130.38</v>
      </c>
      <c r="F30" s="170">
        <v>36.160000000000004</v>
      </c>
      <c r="G30" s="170">
        <v>129</v>
      </c>
      <c r="H30" s="170">
        <v>100.10000000000001</v>
      </c>
      <c r="I30" s="170">
        <v>68.64</v>
      </c>
      <c r="J30" s="170">
        <v>72.320000000000007</v>
      </c>
      <c r="L30" s="166">
        <v>50</v>
      </c>
      <c r="M30" s="173">
        <v>296</v>
      </c>
      <c r="N30" s="173">
        <v>55</v>
      </c>
      <c r="O30" s="173">
        <v>233</v>
      </c>
      <c r="P30" s="173">
        <v>183</v>
      </c>
      <c r="Q30" s="173">
        <v>127</v>
      </c>
      <c r="R30" s="173">
        <v>110</v>
      </c>
      <c r="T30" s="168">
        <f t="shared" si="1"/>
        <v>2.2702868538119345</v>
      </c>
      <c r="U30" s="168">
        <f t="shared" si="1"/>
        <v>1.5210176991150441</v>
      </c>
      <c r="V30" s="168">
        <f t="shared" si="1"/>
        <v>1.806201550387597</v>
      </c>
      <c r="W30" s="168">
        <f t="shared" si="1"/>
        <v>1.828171828171828</v>
      </c>
      <c r="X30" s="168">
        <f t="shared" si="1"/>
        <v>1.8502331002331003</v>
      </c>
      <c r="Y30" s="168">
        <f t="shared" si="1"/>
        <v>1.5210176991150441</v>
      </c>
    </row>
    <row r="31" spans="1:25">
      <c r="A31" s="163" t="s">
        <v>777</v>
      </c>
      <c r="B31" s="163" t="s">
        <v>47</v>
      </c>
      <c r="C31" s="169" t="s">
        <v>778</v>
      </c>
      <c r="D31" s="164">
        <v>25</v>
      </c>
      <c r="E31" s="170">
        <v>132.06</v>
      </c>
      <c r="F31" s="170">
        <v>71.680000000000007</v>
      </c>
      <c r="G31" s="170">
        <v>78</v>
      </c>
      <c r="H31" s="170">
        <v>118.8</v>
      </c>
      <c r="I31" s="170">
        <v>102.82000000000001</v>
      </c>
      <c r="J31" s="170">
        <v>98.77</v>
      </c>
      <c r="L31" s="166">
        <v>50</v>
      </c>
      <c r="M31" s="173">
        <v>293</v>
      </c>
      <c r="N31" s="173">
        <v>145</v>
      </c>
      <c r="O31" s="173">
        <v>132</v>
      </c>
      <c r="P31" s="173">
        <v>216</v>
      </c>
      <c r="Q31" s="173">
        <v>154</v>
      </c>
      <c r="R31" s="173">
        <v>221</v>
      </c>
      <c r="T31" s="168">
        <f t="shared" si="1"/>
        <v>2.2186884749356355</v>
      </c>
      <c r="U31" s="168">
        <f t="shared" si="1"/>
        <v>2.022879464285714</v>
      </c>
      <c r="V31" s="168">
        <f t="shared" si="1"/>
        <v>1.6923076923076923</v>
      </c>
      <c r="W31" s="168">
        <f t="shared" si="1"/>
        <v>1.8181818181818181</v>
      </c>
      <c r="X31" s="168">
        <f t="shared" si="1"/>
        <v>1.4977630811126239</v>
      </c>
      <c r="Y31" s="168">
        <f t="shared" si="1"/>
        <v>2.2375215146299485</v>
      </c>
    </row>
    <row r="32" spans="1:25">
      <c r="A32" s="162" t="s">
        <v>236</v>
      </c>
      <c r="B32" s="163" t="s">
        <v>48</v>
      </c>
      <c r="C32" s="162" t="s">
        <v>215</v>
      </c>
      <c r="D32" s="164">
        <v>25</v>
      </c>
      <c r="E32" s="170">
        <v>315.24</v>
      </c>
      <c r="F32" s="170">
        <v>25.11</v>
      </c>
      <c r="G32" s="170">
        <v>137.76</v>
      </c>
      <c r="H32" s="170">
        <v>118.8</v>
      </c>
      <c r="I32" s="170">
        <v>38.08</v>
      </c>
      <c r="J32" s="170">
        <v>26.07</v>
      </c>
      <c r="K32" s="156"/>
      <c r="L32" s="166">
        <v>50</v>
      </c>
      <c r="M32" s="173">
        <v>475</v>
      </c>
      <c r="N32" s="173">
        <v>59</v>
      </c>
      <c r="O32" s="173">
        <v>252</v>
      </c>
      <c r="P32" s="173">
        <v>216</v>
      </c>
      <c r="Q32" s="173">
        <v>68</v>
      </c>
      <c r="R32" s="173">
        <v>40</v>
      </c>
      <c r="T32" s="168">
        <f t="shared" si="1"/>
        <v>1.5067884786194645</v>
      </c>
      <c r="U32" s="168">
        <f t="shared" si="1"/>
        <v>2.3496614894464356</v>
      </c>
      <c r="V32" s="168">
        <f t="shared" si="1"/>
        <v>1.8292682926829269</v>
      </c>
      <c r="W32" s="168">
        <f t="shared" si="1"/>
        <v>1.8181818181818181</v>
      </c>
      <c r="X32" s="168">
        <f t="shared" si="1"/>
        <v>1.7857142857142858</v>
      </c>
      <c r="Y32" s="168">
        <f t="shared" si="1"/>
        <v>1.5343306482546988</v>
      </c>
    </row>
    <row r="33" spans="1:25">
      <c r="A33" s="162" t="s">
        <v>236</v>
      </c>
      <c r="B33" s="163" t="s">
        <v>50</v>
      </c>
      <c r="C33" s="162" t="s">
        <v>215</v>
      </c>
      <c r="D33" s="164">
        <v>25</v>
      </c>
      <c r="E33" s="170">
        <v>144.30000000000001</v>
      </c>
      <c r="F33" s="170">
        <v>35.96</v>
      </c>
      <c r="G33" s="170">
        <v>113.16</v>
      </c>
      <c r="H33" s="170">
        <v>124.3</v>
      </c>
      <c r="I33" s="170">
        <v>47.04</v>
      </c>
      <c r="J33" s="170">
        <v>38.61</v>
      </c>
      <c r="K33" s="156"/>
      <c r="L33" s="166">
        <v>50</v>
      </c>
      <c r="M33" s="173">
        <v>318</v>
      </c>
      <c r="N33" s="173">
        <v>54</v>
      </c>
      <c r="O33" s="173">
        <v>205</v>
      </c>
      <c r="P33" s="173">
        <v>189</v>
      </c>
      <c r="Q33" s="173">
        <v>105</v>
      </c>
      <c r="R33" s="173">
        <v>70</v>
      </c>
      <c r="T33" s="168">
        <f t="shared" si="1"/>
        <v>2.2037422037422036</v>
      </c>
      <c r="U33" s="168">
        <f t="shared" si="1"/>
        <v>1.5016685205784204</v>
      </c>
      <c r="V33" s="168">
        <f t="shared" si="1"/>
        <v>1.8115942028985508</v>
      </c>
      <c r="W33" s="168">
        <f t="shared" si="1"/>
        <v>1.5205148833467419</v>
      </c>
      <c r="X33" s="168">
        <f t="shared" si="1"/>
        <v>2.2321428571428572</v>
      </c>
      <c r="Y33" s="168">
        <f t="shared" si="1"/>
        <v>1.8130018130018131</v>
      </c>
    </row>
    <row r="34" spans="1:25">
      <c r="A34" s="163" t="s">
        <v>779</v>
      </c>
      <c r="B34" s="163" t="s">
        <v>51</v>
      </c>
      <c r="C34" s="163" t="s">
        <v>780</v>
      </c>
      <c r="D34" s="164">
        <v>25</v>
      </c>
      <c r="E34" s="170">
        <v>186.03</v>
      </c>
      <c r="F34" s="170">
        <v>21.44</v>
      </c>
      <c r="G34" s="170">
        <v>163.83000000000001</v>
      </c>
      <c r="H34" s="170">
        <v>83.600000000000009</v>
      </c>
      <c r="I34" s="170">
        <v>59.800000000000004</v>
      </c>
      <c r="J34" s="170">
        <v>45.44</v>
      </c>
      <c r="L34" s="166">
        <v>50</v>
      </c>
      <c r="M34" s="173">
        <v>337</v>
      </c>
      <c r="N34" s="173">
        <v>39</v>
      </c>
      <c r="O34" s="173">
        <v>249</v>
      </c>
      <c r="P34" s="173">
        <v>189</v>
      </c>
      <c r="Q34" s="173">
        <v>90</v>
      </c>
      <c r="R34" s="173">
        <v>101</v>
      </c>
      <c r="T34" s="168">
        <f t="shared" si="1"/>
        <v>1.8115357737999247</v>
      </c>
      <c r="U34" s="168">
        <f t="shared" si="1"/>
        <v>1.8190298507462686</v>
      </c>
      <c r="V34" s="168">
        <f t="shared" si="1"/>
        <v>1.5198681560153817</v>
      </c>
      <c r="W34" s="168">
        <f t="shared" si="1"/>
        <v>2.2607655502392343</v>
      </c>
      <c r="X34" s="168">
        <f t="shared" si="1"/>
        <v>1.5050167224080266</v>
      </c>
      <c r="Y34" s="168">
        <f t="shared" si="1"/>
        <v>2.222711267605634</v>
      </c>
    </row>
    <row r="35" spans="1:25">
      <c r="A35" s="162" t="s">
        <v>236</v>
      </c>
      <c r="B35" s="163" t="s">
        <v>52</v>
      </c>
      <c r="C35" s="162" t="s">
        <v>215</v>
      </c>
      <c r="D35" s="164">
        <v>25</v>
      </c>
      <c r="E35" s="170">
        <v>195.36</v>
      </c>
      <c r="F35" s="170">
        <v>37.200000000000003</v>
      </c>
      <c r="G35" s="170">
        <v>123</v>
      </c>
      <c r="H35" s="170">
        <v>110</v>
      </c>
      <c r="I35" s="170">
        <v>44.800000000000004</v>
      </c>
      <c r="J35" s="170">
        <v>39.270000000000003</v>
      </c>
      <c r="K35" s="156"/>
      <c r="L35" s="166">
        <v>50</v>
      </c>
      <c r="M35" s="173">
        <v>444</v>
      </c>
      <c r="N35" s="173">
        <v>56</v>
      </c>
      <c r="O35" s="173">
        <v>224</v>
      </c>
      <c r="P35" s="173">
        <v>200</v>
      </c>
      <c r="Q35" s="173">
        <v>81</v>
      </c>
      <c r="R35" s="173">
        <v>59</v>
      </c>
      <c r="T35" s="168">
        <f t="shared" si="1"/>
        <v>2.2727272727272725</v>
      </c>
      <c r="U35" s="168">
        <f t="shared" si="1"/>
        <v>1.5053763440860215</v>
      </c>
      <c r="V35" s="168">
        <f t="shared" si="1"/>
        <v>1.8211382113821137</v>
      </c>
      <c r="W35" s="168">
        <f t="shared" si="1"/>
        <v>1.8181818181818181</v>
      </c>
      <c r="X35" s="168">
        <f t="shared" si="1"/>
        <v>1.8080357142857142</v>
      </c>
      <c r="Y35" s="168">
        <f t="shared" si="1"/>
        <v>1.5024191494779728</v>
      </c>
    </row>
    <row r="36" spans="1:25">
      <c r="A36" s="162" t="s">
        <v>236</v>
      </c>
      <c r="B36" s="163" t="s">
        <v>53</v>
      </c>
      <c r="C36" s="162" t="s">
        <v>215</v>
      </c>
      <c r="D36" s="164">
        <v>25</v>
      </c>
      <c r="E36" s="170">
        <v>241.98000000000002</v>
      </c>
      <c r="F36" s="170">
        <v>32.24</v>
      </c>
      <c r="G36" s="170">
        <v>132.84</v>
      </c>
      <c r="H36" s="170">
        <v>155.1</v>
      </c>
      <c r="I36" s="170">
        <v>29.68</v>
      </c>
      <c r="J36" s="170">
        <v>35.97</v>
      </c>
      <c r="K36" s="156"/>
      <c r="L36" s="166">
        <v>50</v>
      </c>
      <c r="M36" s="173">
        <v>435</v>
      </c>
      <c r="N36" s="173">
        <v>50</v>
      </c>
      <c r="O36" s="173">
        <v>242</v>
      </c>
      <c r="P36" s="173">
        <v>236</v>
      </c>
      <c r="Q36" s="173">
        <v>65</v>
      </c>
      <c r="R36" s="173">
        <v>65</v>
      </c>
      <c r="T36" s="168">
        <f t="shared" si="1"/>
        <v>1.7976692288618892</v>
      </c>
      <c r="U36" s="168">
        <f t="shared" si="1"/>
        <v>1.5508684863523572</v>
      </c>
      <c r="V36" s="168">
        <f t="shared" si="1"/>
        <v>1.8217404396266184</v>
      </c>
      <c r="W36" s="168">
        <f t="shared" si="1"/>
        <v>1.5215989684074791</v>
      </c>
      <c r="X36" s="168">
        <f t="shared" si="1"/>
        <v>2.1900269541778976</v>
      </c>
      <c r="Y36" s="168">
        <f t="shared" si="1"/>
        <v>1.8070614400889631</v>
      </c>
    </row>
    <row r="37" spans="1:25">
      <c r="A37" s="163" t="s">
        <v>777</v>
      </c>
      <c r="B37" s="163" t="s">
        <v>54</v>
      </c>
      <c r="C37" s="169" t="s">
        <v>778</v>
      </c>
      <c r="D37" s="164">
        <v>25</v>
      </c>
      <c r="E37" s="170">
        <v>156.24</v>
      </c>
      <c r="F37" s="170">
        <v>61.44</v>
      </c>
      <c r="G37" s="170">
        <v>63</v>
      </c>
      <c r="H37" s="170">
        <v>82.5</v>
      </c>
      <c r="I37" s="170">
        <v>87.3</v>
      </c>
      <c r="J37" s="170">
        <v>129.71</v>
      </c>
      <c r="K37" s="156"/>
      <c r="L37" s="166">
        <v>50</v>
      </c>
      <c r="M37" s="173">
        <v>280</v>
      </c>
      <c r="N37" s="173">
        <v>152</v>
      </c>
      <c r="O37" s="173">
        <v>108</v>
      </c>
      <c r="P37" s="173">
        <v>127</v>
      </c>
      <c r="Q37" s="173">
        <v>195</v>
      </c>
      <c r="R37" s="173">
        <v>234</v>
      </c>
      <c r="T37" s="168">
        <f t="shared" si="1"/>
        <v>1.7921146953405016</v>
      </c>
      <c r="U37" s="168">
        <f t="shared" si="1"/>
        <v>2.4739583333333335</v>
      </c>
      <c r="V37" s="168">
        <f t="shared" si="1"/>
        <v>1.7142857142857142</v>
      </c>
      <c r="W37" s="168">
        <f t="shared" si="1"/>
        <v>1.5393939393939393</v>
      </c>
      <c r="X37" s="168">
        <f t="shared" si="1"/>
        <v>2.2336769759450172</v>
      </c>
      <c r="Y37" s="168">
        <f t="shared" si="1"/>
        <v>1.8040243620383933</v>
      </c>
    </row>
    <row r="38" spans="1:25">
      <c r="A38" s="162" t="s">
        <v>236</v>
      </c>
      <c r="B38" s="163" t="s">
        <v>56</v>
      </c>
      <c r="C38" s="162" t="s">
        <v>215</v>
      </c>
      <c r="D38" s="164">
        <v>25</v>
      </c>
      <c r="E38" s="170">
        <v>222</v>
      </c>
      <c r="F38" s="170">
        <v>23.56</v>
      </c>
      <c r="G38" s="170">
        <v>118.08</v>
      </c>
      <c r="H38" s="170">
        <v>134.19999999999999</v>
      </c>
      <c r="I38" s="170">
        <v>45.36</v>
      </c>
      <c r="J38" s="170">
        <v>35.64</v>
      </c>
      <c r="K38" s="156"/>
      <c r="L38" s="166">
        <v>50</v>
      </c>
      <c r="M38" s="173">
        <v>401</v>
      </c>
      <c r="N38" s="173">
        <v>52</v>
      </c>
      <c r="O38" s="173">
        <v>214</v>
      </c>
      <c r="P38" s="173">
        <v>205</v>
      </c>
      <c r="Q38" s="173">
        <v>101</v>
      </c>
      <c r="R38" s="173">
        <v>55</v>
      </c>
      <c r="T38" s="168">
        <f t="shared" si="1"/>
        <v>1.8063063063063063</v>
      </c>
      <c r="U38" s="168">
        <f t="shared" si="1"/>
        <v>2.2071307300509337</v>
      </c>
      <c r="V38" s="168">
        <f t="shared" si="1"/>
        <v>1.8123306233062331</v>
      </c>
      <c r="W38" s="168">
        <f t="shared" si="1"/>
        <v>1.5275707898658719</v>
      </c>
      <c r="X38" s="168">
        <f t="shared" si="1"/>
        <v>2.2266313932980601</v>
      </c>
      <c r="Y38" s="168">
        <f t="shared" si="1"/>
        <v>1.5432098765432098</v>
      </c>
    </row>
    <row r="39" spans="1:25">
      <c r="A39" s="163" t="s">
        <v>777</v>
      </c>
      <c r="B39" s="163" t="s">
        <v>57</v>
      </c>
      <c r="C39" s="169" t="s">
        <v>778</v>
      </c>
      <c r="D39" s="164">
        <v>25</v>
      </c>
      <c r="E39" s="170">
        <v>210.18</v>
      </c>
      <c r="F39" s="170">
        <v>69.760000000000005</v>
      </c>
      <c r="G39" s="170">
        <v>78</v>
      </c>
      <c r="H39" s="170">
        <v>78.100000000000009</v>
      </c>
      <c r="I39" s="170">
        <v>105.73</v>
      </c>
      <c r="J39" s="170">
        <v>123.76</v>
      </c>
      <c r="K39" s="156"/>
      <c r="L39" s="166">
        <v>50</v>
      </c>
      <c r="M39" s="173">
        <v>319</v>
      </c>
      <c r="N39" s="173">
        <v>117</v>
      </c>
      <c r="O39" s="173">
        <v>158</v>
      </c>
      <c r="P39" s="173">
        <v>174</v>
      </c>
      <c r="Q39" s="173">
        <v>191</v>
      </c>
      <c r="R39" s="173">
        <v>225</v>
      </c>
      <c r="T39" s="168">
        <f t="shared" si="1"/>
        <v>1.5177466933104957</v>
      </c>
      <c r="U39" s="168">
        <f t="shared" si="1"/>
        <v>1.6771788990825687</v>
      </c>
      <c r="V39" s="168">
        <f t="shared" si="1"/>
        <v>2.0256410256410255</v>
      </c>
      <c r="W39" s="168">
        <f t="shared" si="1"/>
        <v>2.2279129321382838</v>
      </c>
      <c r="X39" s="168">
        <f t="shared" si="1"/>
        <v>1.8064882247233518</v>
      </c>
      <c r="Y39" s="168">
        <f t="shared" si="1"/>
        <v>1.8180349062702004</v>
      </c>
    </row>
    <row r="40" spans="1:25">
      <c r="A40" s="162" t="s">
        <v>236</v>
      </c>
      <c r="B40" s="163" t="s">
        <v>58</v>
      </c>
      <c r="C40" s="162" t="s">
        <v>215</v>
      </c>
      <c r="D40" s="164">
        <v>25</v>
      </c>
      <c r="E40" s="170">
        <v>182.04</v>
      </c>
      <c r="F40" s="170">
        <v>32.24</v>
      </c>
      <c r="G40" s="170">
        <v>127.92</v>
      </c>
      <c r="H40" s="170">
        <v>137.5</v>
      </c>
      <c r="I40" s="170">
        <v>54.32</v>
      </c>
      <c r="J40" s="170">
        <v>38.61</v>
      </c>
      <c r="K40" s="156"/>
      <c r="L40" s="166">
        <v>50</v>
      </c>
      <c r="M40" s="173">
        <v>412</v>
      </c>
      <c r="N40" s="173">
        <v>50</v>
      </c>
      <c r="O40" s="173">
        <v>233</v>
      </c>
      <c r="P40" s="173">
        <v>249</v>
      </c>
      <c r="Q40" s="173">
        <v>78</v>
      </c>
      <c r="R40" s="173">
        <v>88</v>
      </c>
      <c r="T40" s="168">
        <f t="shared" si="1"/>
        <v>2.2632388486047024</v>
      </c>
      <c r="U40" s="168">
        <f t="shared" si="1"/>
        <v>1.5508684863523572</v>
      </c>
      <c r="V40" s="168">
        <f t="shared" si="1"/>
        <v>1.8214509068167604</v>
      </c>
      <c r="W40" s="168">
        <f t="shared" si="1"/>
        <v>1.8109090909090908</v>
      </c>
      <c r="X40" s="168">
        <f t="shared" si="1"/>
        <v>1.4359351988217968</v>
      </c>
      <c r="Y40" s="168">
        <f t="shared" si="1"/>
        <v>2.2792022792022792</v>
      </c>
    </row>
    <row r="41" spans="1:25">
      <c r="A41" s="162" t="s">
        <v>236</v>
      </c>
      <c r="B41" s="163" t="s">
        <v>59</v>
      </c>
      <c r="C41" s="162" t="s">
        <v>215</v>
      </c>
      <c r="D41" s="164">
        <v>25</v>
      </c>
      <c r="E41" s="170">
        <v>222</v>
      </c>
      <c r="F41" s="170">
        <v>33.79</v>
      </c>
      <c r="G41" s="170">
        <v>127.92</v>
      </c>
      <c r="H41" s="170">
        <v>134.19999999999999</v>
      </c>
      <c r="I41" s="170">
        <v>42</v>
      </c>
      <c r="J41" s="170">
        <v>35.64</v>
      </c>
      <c r="K41" s="156"/>
      <c r="L41" s="166">
        <v>50</v>
      </c>
      <c r="M41" s="173">
        <v>401</v>
      </c>
      <c r="N41" s="173">
        <v>52</v>
      </c>
      <c r="O41" s="173">
        <v>233</v>
      </c>
      <c r="P41" s="173">
        <v>205</v>
      </c>
      <c r="Q41" s="173">
        <v>93</v>
      </c>
      <c r="R41" s="173">
        <v>65</v>
      </c>
      <c r="T41" s="168">
        <f t="shared" si="1"/>
        <v>1.8063063063063063</v>
      </c>
      <c r="U41" s="168">
        <f t="shared" si="1"/>
        <v>1.5389168393015686</v>
      </c>
      <c r="V41" s="168">
        <f t="shared" si="1"/>
        <v>1.8214509068167604</v>
      </c>
      <c r="W41" s="168">
        <f t="shared" si="1"/>
        <v>1.5275707898658719</v>
      </c>
      <c r="X41" s="168">
        <f t="shared" si="1"/>
        <v>2.2142857142857144</v>
      </c>
      <c r="Y41" s="168">
        <f t="shared" si="1"/>
        <v>1.8237934904601572</v>
      </c>
    </row>
    <row r="42" spans="1:25">
      <c r="A42" s="162" t="s">
        <v>236</v>
      </c>
      <c r="B42" s="163" t="s">
        <v>61</v>
      </c>
      <c r="C42" s="162" t="s">
        <v>215</v>
      </c>
      <c r="D42" s="164">
        <v>25</v>
      </c>
      <c r="E42" s="170">
        <v>250.86</v>
      </c>
      <c r="F42" s="170">
        <v>18.29</v>
      </c>
      <c r="G42" s="170">
        <v>142.68</v>
      </c>
      <c r="H42" s="170">
        <v>70.400000000000006</v>
      </c>
      <c r="I42" s="170">
        <v>59.36</v>
      </c>
      <c r="J42" s="170">
        <v>22.11</v>
      </c>
      <c r="K42" s="156"/>
      <c r="L42" s="166">
        <v>50</v>
      </c>
      <c r="M42" s="173">
        <v>407</v>
      </c>
      <c r="N42" s="173">
        <v>44</v>
      </c>
      <c r="O42" s="173">
        <v>275</v>
      </c>
      <c r="P42" s="173">
        <v>171</v>
      </c>
      <c r="Q42" s="173">
        <v>96</v>
      </c>
      <c r="R42" s="173">
        <v>44</v>
      </c>
      <c r="T42" s="168">
        <f t="shared" si="1"/>
        <v>1.6224188790560472</v>
      </c>
      <c r="U42" s="168">
        <f t="shared" si="1"/>
        <v>2.405686167304538</v>
      </c>
      <c r="V42" s="168">
        <f t="shared" si="1"/>
        <v>1.927389963554808</v>
      </c>
      <c r="W42" s="168">
        <f t="shared" si="1"/>
        <v>2.4289772727272725</v>
      </c>
      <c r="X42" s="168">
        <f t="shared" si="1"/>
        <v>1.6172506738544474</v>
      </c>
      <c r="Y42" s="168">
        <f t="shared" si="1"/>
        <v>1.9900497512437811</v>
      </c>
    </row>
    <row r="43" spans="1:25">
      <c r="A43" s="162" t="s">
        <v>236</v>
      </c>
      <c r="B43" s="163" t="s">
        <v>63</v>
      </c>
      <c r="C43" s="162" t="s">
        <v>215</v>
      </c>
      <c r="D43" s="164">
        <v>25</v>
      </c>
      <c r="E43" s="170">
        <v>222</v>
      </c>
      <c r="F43" s="170">
        <v>22.32</v>
      </c>
      <c r="G43" s="170">
        <v>132.84</v>
      </c>
      <c r="H43" s="170">
        <v>70.400000000000006</v>
      </c>
      <c r="I43" s="170">
        <v>59.36</v>
      </c>
      <c r="J43" s="170">
        <v>34.32</v>
      </c>
      <c r="K43" s="156"/>
      <c r="L43" s="166">
        <v>50</v>
      </c>
      <c r="M43" s="173">
        <v>427</v>
      </c>
      <c r="N43" s="173">
        <v>53</v>
      </c>
      <c r="O43" s="173">
        <v>218</v>
      </c>
      <c r="P43" s="173">
        <v>171</v>
      </c>
      <c r="Q43" s="173">
        <v>113</v>
      </c>
      <c r="R43" s="173">
        <v>56</v>
      </c>
      <c r="T43" s="168">
        <f t="shared" si="1"/>
        <v>1.9234234234234233</v>
      </c>
      <c r="U43" s="168">
        <f t="shared" si="1"/>
        <v>2.3745519713261647</v>
      </c>
      <c r="V43" s="168">
        <f t="shared" si="1"/>
        <v>1.6410719662752182</v>
      </c>
      <c r="W43" s="168">
        <f t="shared" si="1"/>
        <v>2.4289772727272725</v>
      </c>
      <c r="X43" s="168">
        <f t="shared" si="1"/>
        <v>1.9036388140161726</v>
      </c>
      <c r="Y43" s="168">
        <f t="shared" si="1"/>
        <v>1.6317016317016317</v>
      </c>
    </row>
    <row r="44" spans="1:25">
      <c r="A44" s="162" t="s">
        <v>236</v>
      </c>
      <c r="B44" s="163" t="s">
        <v>41</v>
      </c>
      <c r="C44" s="162" t="s">
        <v>215</v>
      </c>
      <c r="D44" s="164">
        <v>25</v>
      </c>
      <c r="E44" s="170">
        <v>170.94</v>
      </c>
      <c r="F44" s="170">
        <v>37.200000000000003</v>
      </c>
      <c r="G44" s="170">
        <v>150.06</v>
      </c>
      <c r="H44" s="170">
        <v>118.8</v>
      </c>
      <c r="I44" s="170">
        <v>74.48</v>
      </c>
      <c r="J44" s="170">
        <v>28.38</v>
      </c>
      <c r="K44" s="156"/>
      <c r="L44" s="166">
        <v>50</v>
      </c>
      <c r="M44" s="173">
        <v>381</v>
      </c>
      <c r="N44" s="173">
        <v>67</v>
      </c>
      <c r="O44" s="173">
        <v>229</v>
      </c>
      <c r="P44" s="173">
        <v>216</v>
      </c>
      <c r="Q44" s="173">
        <v>113</v>
      </c>
      <c r="R44" s="173">
        <v>64</v>
      </c>
      <c r="T44" s="168">
        <f t="shared" si="1"/>
        <v>2.228852228852229</v>
      </c>
      <c r="U44" s="168">
        <f t="shared" si="1"/>
        <v>1.8010752688172043</v>
      </c>
      <c r="V44" s="168">
        <f t="shared" si="1"/>
        <v>1.5260562441689991</v>
      </c>
      <c r="W44" s="168">
        <f t="shared" si="1"/>
        <v>1.8181818181818181</v>
      </c>
      <c r="X44" s="168">
        <f t="shared" si="1"/>
        <v>1.5171858216970997</v>
      </c>
      <c r="Y44" s="168">
        <f t="shared" si="1"/>
        <v>2.2551092318534178</v>
      </c>
    </row>
    <row r="45" spans="1:25">
      <c r="A45" s="162" t="s">
        <v>236</v>
      </c>
      <c r="B45" s="163" t="s">
        <v>43</v>
      </c>
      <c r="C45" s="162" t="s">
        <v>215</v>
      </c>
      <c r="D45" s="164">
        <v>25</v>
      </c>
      <c r="E45" s="170">
        <v>208.68</v>
      </c>
      <c r="F45" s="170">
        <v>23.56</v>
      </c>
      <c r="G45" s="170">
        <v>154.97999999999999</v>
      </c>
      <c r="H45" s="170">
        <v>115.5</v>
      </c>
      <c r="I45" s="170">
        <v>58.24</v>
      </c>
      <c r="J45" s="170">
        <v>27.72</v>
      </c>
      <c r="K45" s="156"/>
      <c r="L45" s="166">
        <v>50</v>
      </c>
      <c r="M45" s="173">
        <v>475</v>
      </c>
      <c r="N45" s="173">
        <v>43</v>
      </c>
      <c r="O45" s="173">
        <v>239</v>
      </c>
      <c r="P45" s="173">
        <v>267</v>
      </c>
      <c r="Q45" s="173">
        <v>89</v>
      </c>
      <c r="R45" s="173">
        <v>50</v>
      </c>
      <c r="T45" s="168">
        <f t="shared" si="1"/>
        <v>2.2762123825953613</v>
      </c>
      <c r="U45" s="168">
        <f t="shared" si="1"/>
        <v>1.8251273344651953</v>
      </c>
      <c r="V45" s="168">
        <f t="shared" si="1"/>
        <v>1.5421344689637373</v>
      </c>
      <c r="W45" s="168">
        <f t="shared" si="1"/>
        <v>2.3116883116883118</v>
      </c>
      <c r="X45" s="168">
        <f t="shared" si="1"/>
        <v>1.5281593406593406</v>
      </c>
      <c r="Y45" s="168">
        <f t="shared" si="1"/>
        <v>1.8037518037518039</v>
      </c>
    </row>
    <row r="46" spans="1:25">
      <c r="A46" s="163" t="s">
        <v>777</v>
      </c>
      <c r="B46" s="163" t="s">
        <v>60</v>
      </c>
      <c r="C46" s="169" t="s">
        <v>778</v>
      </c>
      <c r="D46" s="164">
        <v>25</v>
      </c>
      <c r="E46" s="170">
        <v>132.06</v>
      </c>
      <c r="F46" s="170">
        <v>67.2</v>
      </c>
      <c r="G46" s="170">
        <v>84.75</v>
      </c>
      <c r="H46" s="170">
        <v>118.8</v>
      </c>
      <c r="I46" s="170">
        <v>121.25</v>
      </c>
      <c r="J46" s="170">
        <v>119</v>
      </c>
      <c r="K46" s="156"/>
      <c r="L46" s="166">
        <v>50</v>
      </c>
      <c r="M46" s="173">
        <v>293</v>
      </c>
      <c r="N46" s="173">
        <v>172</v>
      </c>
      <c r="O46" s="173">
        <v>144</v>
      </c>
      <c r="P46" s="173">
        <v>216</v>
      </c>
      <c r="Q46" s="173">
        <v>181</v>
      </c>
      <c r="R46" s="173">
        <v>216</v>
      </c>
      <c r="T46" s="168">
        <f t="shared" si="1"/>
        <v>2.2186884749356355</v>
      </c>
      <c r="U46" s="168">
        <f t="shared" si="1"/>
        <v>2.5595238095238093</v>
      </c>
      <c r="V46" s="168">
        <f t="shared" si="1"/>
        <v>1.6991150442477876</v>
      </c>
      <c r="W46" s="168">
        <f t="shared" ref="W46:Y47" si="2">P46/H46</f>
        <v>1.8181818181818181</v>
      </c>
      <c r="X46" s="168">
        <f t="shared" si="2"/>
        <v>1.4927835051546392</v>
      </c>
      <c r="Y46" s="168">
        <f t="shared" si="2"/>
        <v>1.8151260504201681</v>
      </c>
    </row>
    <row r="47" spans="1:25">
      <c r="A47" s="163" t="s">
        <v>777</v>
      </c>
      <c r="B47" s="163" t="s">
        <v>62</v>
      </c>
      <c r="C47" s="169" t="s">
        <v>778</v>
      </c>
      <c r="D47" s="164">
        <v>25</v>
      </c>
      <c r="E47" s="170">
        <v>171.12</v>
      </c>
      <c r="F47" s="170">
        <v>74.239999999999995</v>
      </c>
      <c r="G47" s="170">
        <v>72</v>
      </c>
      <c r="H47" s="170">
        <v>110</v>
      </c>
      <c r="I47" s="170">
        <v>81.48</v>
      </c>
      <c r="J47" s="170">
        <v>152.32</v>
      </c>
      <c r="K47" s="156"/>
      <c r="L47" s="166">
        <v>50</v>
      </c>
      <c r="M47" s="173">
        <v>308</v>
      </c>
      <c r="N47" s="173">
        <v>122</v>
      </c>
      <c r="O47" s="173">
        <v>145</v>
      </c>
      <c r="P47" s="173">
        <v>200</v>
      </c>
      <c r="Q47" s="173">
        <v>181</v>
      </c>
      <c r="R47" s="173">
        <v>230</v>
      </c>
      <c r="T47" s="168">
        <f t="shared" ref="T47:V47" si="3">M47/E47</f>
        <v>1.7999064983637214</v>
      </c>
      <c r="U47" s="168">
        <f t="shared" si="3"/>
        <v>1.6433189655172415</v>
      </c>
      <c r="V47" s="168">
        <f t="shared" si="3"/>
        <v>2.0138888888888888</v>
      </c>
      <c r="W47" s="168">
        <f t="shared" si="2"/>
        <v>1.8181818181818181</v>
      </c>
      <c r="X47" s="168">
        <f t="shared" si="2"/>
        <v>2.221404025527737</v>
      </c>
      <c r="Y47" s="168">
        <f t="shared" si="2"/>
        <v>1.5099789915966386</v>
      </c>
    </row>
  </sheetData>
  <mergeCells count="1">
    <mergeCell ref="T1:Y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/>
  </sheetViews>
  <sheetFormatPr defaultRowHeight="13.5"/>
  <cols>
    <col min="1" max="1" width="1" style="92" customWidth="1"/>
    <col min="2" max="2" width="3.875" style="92" customWidth="1"/>
    <col min="3" max="3" width="61.25" style="92" customWidth="1"/>
    <col min="4" max="16384" width="9" style="92"/>
  </cols>
  <sheetData>
    <row r="1" spans="1:4" ht="18.75">
      <c r="A1" s="182" t="s">
        <v>895</v>
      </c>
    </row>
    <row r="2" spans="1:4" ht="14.25" thickBot="1"/>
    <row r="3" spans="1:4">
      <c r="B3" s="248" t="s">
        <v>341</v>
      </c>
      <c r="C3" s="249" t="s">
        <v>818</v>
      </c>
      <c r="D3" s="250" t="s">
        <v>819</v>
      </c>
    </row>
    <row r="4" spans="1:4">
      <c r="B4" s="30">
        <v>1</v>
      </c>
      <c r="C4" s="11" t="s">
        <v>962</v>
      </c>
      <c r="D4" s="35">
        <v>1.31</v>
      </c>
    </row>
    <row r="5" spans="1:4">
      <c r="B5" s="30">
        <v>2</v>
      </c>
      <c r="C5" s="11" t="s">
        <v>820</v>
      </c>
      <c r="D5" s="35">
        <v>1.31</v>
      </c>
    </row>
    <row r="6" spans="1:4">
      <c r="B6" s="30">
        <v>3</v>
      </c>
      <c r="C6" s="11" t="s">
        <v>821</v>
      </c>
      <c r="D6" s="35">
        <v>1.31</v>
      </c>
    </row>
    <row r="7" spans="1:4">
      <c r="B7" s="243">
        <v>4</v>
      </c>
      <c r="C7" s="11" t="s">
        <v>822</v>
      </c>
      <c r="D7" s="35">
        <v>1.31</v>
      </c>
    </row>
    <row r="8" spans="1:4">
      <c r="B8" s="30">
        <v>5</v>
      </c>
      <c r="C8" s="11" t="s">
        <v>827</v>
      </c>
      <c r="D8" s="35">
        <v>1.31</v>
      </c>
    </row>
    <row r="9" spans="1:4">
      <c r="B9" s="30">
        <v>6</v>
      </c>
      <c r="C9" s="11"/>
      <c r="D9" s="35"/>
    </row>
    <row r="10" spans="1:4">
      <c r="B10" s="30">
        <v>7</v>
      </c>
      <c r="C10" s="11"/>
      <c r="D10" s="35"/>
    </row>
    <row r="11" spans="1:4">
      <c r="B11" s="243">
        <v>8</v>
      </c>
      <c r="C11" s="11"/>
      <c r="D11" s="35"/>
    </row>
    <row r="12" spans="1:4">
      <c r="B12" s="30">
        <v>9</v>
      </c>
      <c r="C12" s="11"/>
      <c r="D12" s="35"/>
    </row>
    <row r="13" spans="1:4">
      <c r="B13" s="30">
        <v>10</v>
      </c>
      <c r="C13" s="11"/>
      <c r="D13" s="35"/>
    </row>
    <row r="14" spans="1:4">
      <c r="B14" s="30">
        <v>11</v>
      </c>
      <c r="C14" s="11"/>
      <c r="D14" s="35"/>
    </row>
    <row r="15" spans="1:4">
      <c r="B15" s="243">
        <v>12</v>
      </c>
      <c r="C15" s="11"/>
      <c r="D15" s="35"/>
    </row>
    <row r="16" spans="1:4">
      <c r="B16" s="30">
        <v>13</v>
      </c>
      <c r="C16" s="11"/>
      <c r="D16" s="35"/>
    </row>
    <row r="17" spans="2:4">
      <c r="B17" s="30">
        <v>14</v>
      </c>
      <c r="C17" s="11"/>
      <c r="D17" s="35"/>
    </row>
    <row r="18" spans="2:4">
      <c r="B18" s="30">
        <v>15</v>
      </c>
      <c r="C18" s="11"/>
      <c r="D18" s="35"/>
    </row>
    <row r="19" spans="2:4">
      <c r="B19" s="243">
        <v>16</v>
      </c>
      <c r="C19" s="11"/>
      <c r="D19" s="35"/>
    </row>
    <row r="20" spans="2:4">
      <c r="B20" s="30">
        <v>17</v>
      </c>
      <c r="C20" s="11"/>
      <c r="D20" s="35"/>
    </row>
    <row r="21" spans="2:4">
      <c r="B21" s="30">
        <v>18</v>
      </c>
      <c r="C21" s="11"/>
      <c r="D21" s="35"/>
    </row>
    <row r="22" spans="2:4">
      <c r="B22" s="30">
        <v>19</v>
      </c>
      <c r="C22" s="11"/>
      <c r="D22" s="35"/>
    </row>
    <row r="23" spans="2:4">
      <c r="B23" s="243">
        <v>20</v>
      </c>
      <c r="C23" s="11"/>
      <c r="D23" s="35"/>
    </row>
    <row r="24" spans="2:4">
      <c r="B24" s="30">
        <v>21</v>
      </c>
      <c r="C24" s="11"/>
      <c r="D24" s="35"/>
    </row>
    <row r="25" spans="2:4">
      <c r="B25" s="30">
        <v>22</v>
      </c>
      <c r="C25" s="11"/>
      <c r="D25" s="35"/>
    </row>
    <row r="26" spans="2:4">
      <c r="B26" s="30">
        <v>23</v>
      </c>
      <c r="C26" s="11"/>
      <c r="D26" s="35"/>
    </row>
    <row r="27" spans="2:4">
      <c r="B27" s="243">
        <v>24</v>
      </c>
      <c r="C27" s="11"/>
      <c r="D27" s="35"/>
    </row>
    <row r="28" spans="2:4">
      <c r="B28" s="30">
        <v>25</v>
      </c>
      <c r="C28" s="11"/>
      <c r="D28" s="35"/>
    </row>
    <row r="29" spans="2:4">
      <c r="B29" s="30">
        <v>26</v>
      </c>
      <c r="C29" s="11"/>
      <c r="D29" s="35"/>
    </row>
    <row r="30" spans="2:4">
      <c r="B30" s="30">
        <v>27</v>
      </c>
      <c r="C30" s="11"/>
      <c r="D30" s="35"/>
    </row>
    <row r="31" spans="2:4">
      <c r="B31" s="243">
        <v>28</v>
      </c>
      <c r="C31" s="11"/>
      <c r="D31" s="35"/>
    </row>
    <row r="32" spans="2:4">
      <c r="B32" s="30">
        <v>29</v>
      </c>
      <c r="C32" s="11"/>
      <c r="D32" s="35"/>
    </row>
    <row r="33" spans="2:4" ht="14.25" thickBot="1">
      <c r="B33" s="31">
        <v>30</v>
      </c>
      <c r="C33" s="125"/>
      <c r="D33" s="3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C196"/>
  <sheetViews>
    <sheetView showGridLines="0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outlineLevelCol="1"/>
  <cols>
    <col min="1" max="1" width="1.75" customWidth="1"/>
    <col min="2" max="2" width="3.25" customWidth="1"/>
    <col min="3" max="3" width="20.875" customWidth="1"/>
    <col min="4" max="5" width="7.375" customWidth="1"/>
    <col min="7" max="7" width="11.375" customWidth="1"/>
    <col min="8" max="8" width="7.375" customWidth="1" outlineLevel="1"/>
    <col min="9" max="9" width="15.75" customWidth="1" outlineLevel="1"/>
    <col min="10" max="10" width="15.5" customWidth="1" outlineLevel="1"/>
    <col min="11" max="17" width="7.375" customWidth="1" outlineLevel="1"/>
    <col min="18" max="19" width="12.625" customWidth="1" outlineLevel="1"/>
    <col min="20" max="20" width="12.625" style="148" customWidth="1" outlineLevel="1"/>
    <col min="21" max="21" width="8.625" customWidth="1" outlineLevel="1"/>
    <col min="22" max="22" width="53.125" customWidth="1" outlineLevel="1"/>
    <col min="24" max="24" width="8.625" customWidth="1"/>
    <col min="26" max="26" width="16.625" style="235" customWidth="1"/>
    <col min="27" max="27" width="9" style="100"/>
    <col min="28" max="29" width="9" style="29"/>
  </cols>
  <sheetData>
    <row r="1" spans="1:26" ht="18.75">
      <c r="A1" s="26" t="s">
        <v>817</v>
      </c>
      <c r="B1" s="26"/>
      <c r="D1" s="26"/>
      <c r="E1" s="26"/>
    </row>
    <row r="2" spans="1:26" ht="14.25" thickBot="1">
      <c r="B2" s="93" t="s">
        <v>748</v>
      </c>
      <c r="H2" s="222" t="s">
        <v>951</v>
      </c>
      <c r="Z2" s="235" t="s">
        <v>815</v>
      </c>
    </row>
    <row r="3" spans="1:26">
      <c r="B3" s="223" t="s">
        <v>341</v>
      </c>
      <c r="C3" s="224" t="s">
        <v>74</v>
      </c>
      <c r="D3" s="225" t="s">
        <v>308</v>
      </c>
      <c r="E3" s="225" t="s">
        <v>309</v>
      </c>
      <c r="F3" s="226" t="s">
        <v>310</v>
      </c>
      <c r="G3" s="227" t="s">
        <v>86</v>
      </c>
      <c r="H3" s="142" t="s">
        <v>79</v>
      </c>
      <c r="I3" s="143" t="s">
        <v>752</v>
      </c>
      <c r="J3" s="144" t="s">
        <v>751</v>
      </c>
      <c r="K3" s="143" t="s">
        <v>750</v>
      </c>
      <c r="L3" s="143" t="s">
        <v>6</v>
      </c>
      <c r="M3" s="143" t="s">
        <v>7</v>
      </c>
      <c r="N3" s="143" t="s">
        <v>8</v>
      </c>
      <c r="O3" s="143" t="s">
        <v>9</v>
      </c>
      <c r="P3" s="143" t="s">
        <v>332</v>
      </c>
      <c r="Q3" s="143" t="s">
        <v>11</v>
      </c>
      <c r="R3" s="145" t="s">
        <v>311</v>
      </c>
      <c r="S3" s="145" t="s">
        <v>312</v>
      </c>
      <c r="T3" s="145" t="s">
        <v>769</v>
      </c>
      <c r="U3" s="146" t="s">
        <v>950</v>
      </c>
      <c r="V3" s="147" t="s">
        <v>948</v>
      </c>
      <c r="Z3" s="235" t="s">
        <v>815</v>
      </c>
    </row>
    <row r="4" spans="1:26">
      <c r="B4" s="30">
        <v>1</v>
      </c>
      <c r="C4" s="38"/>
      <c r="D4" s="130" t="str">
        <f>IF(C4="","",VLOOKUP(C4,'モンスター　一覧'!$B$4:$E$198,2,FALSE))</f>
        <v/>
      </c>
      <c r="E4" s="95" t="str">
        <f>IF(C4="","",VLOOKUP(C4,'モンスター　一覧'!$B$4:$E$198,3,FALSE))</f>
        <v/>
      </c>
      <c r="F4" s="33" t="str">
        <f>IF(C4="","",VLOOKUP(C4,'モンスター　一覧'!$B$4:$E$198,4,FALSE))</f>
        <v/>
      </c>
      <c r="G4" s="101" t="str">
        <f>IF(C4="","",VLOOKUP(C4,'モンスター　一覧'!$B$4:$G$198,5,FALSE))</f>
        <v/>
      </c>
      <c r="H4" s="130"/>
      <c r="I4" s="95"/>
      <c r="J4" s="95"/>
      <c r="K4" s="27"/>
      <c r="L4" s="174"/>
      <c r="M4" s="174"/>
      <c r="N4" s="174"/>
      <c r="O4" s="174"/>
      <c r="P4" s="174"/>
      <c r="Q4" s="174"/>
      <c r="R4" s="33"/>
      <c r="S4" s="33"/>
      <c r="T4" s="33"/>
      <c r="U4" s="33"/>
      <c r="V4" s="35"/>
      <c r="Z4" s="235" t="s">
        <v>815</v>
      </c>
    </row>
    <row r="5" spans="1:26">
      <c r="B5" s="30">
        <v>2</v>
      </c>
      <c r="C5" s="38"/>
      <c r="D5" s="130" t="str">
        <f>IF(C5="","",VLOOKUP(C5,'モンスター　一覧'!$B$4:$E$198,2,FALSE))</f>
        <v/>
      </c>
      <c r="E5" s="95" t="str">
        <f>IF(C5="","",VLOOKUP(C5,'モンスター　一覧'!$B$4:$E$198,3,FALSE))</f>
        <v/>
      </c>
      <c r="F5" s="33" t="str">
        <f>IF(C5="","",VLOOKUP(C5,'モンスター　一覧'!$B$4:$E$198,4,FALSE))</f>
        <v/>
      </c>
      <c r="G5" s="101" t="str">
        <f>IF(C5="","",VLOOKUP(C5,'モンスター　一覧'!$B$4:$G$198,5,FALSE))</f>
        <v/>
      </c>
      <c r="H5" s="130"/>
      <c r="I5" s="95"/>
      <c r="J5" s="95"/>
      <c r="K5" s="27"/>
      <c r="L5" s="174"/>
      <c r="M5" s="174"/>
      <c r="N5" s="174"/>
      <c r="O5" s="174"/>
      <c r="P5" s="174"/>
      <c r="Q5" s="174"/>
      <c r="R5" s="33"/>
      <c r="S5" s="33"/>
      <c r="T5" s="33"/>
      <c r="U5" s="33"/>
      <c r="V5" s="35"/>
      <c r="Z5" s="235" t="s">
        <v>815</v>
      </c>
    </row>
    <row r="6" spans="1:26">
      <c r="B6" s="30">
        <v>3</v>
      </c>
      <c r="C6" s="38"/>
      <c r="D6" s="130" t="str">
        <f>IF(C6="","",VLOOKUP(C6,'モンスター　一覧'!$B$4:$E$198,2,FALSE))</f>
        <v/>
      </c>
      <c r="E6" s="95" t="str">
        <f>IF(C6="","",VLOOKUP(C6,'モンスター　一覧'!$B$4:$E$198,3,FALSE))</f>
        <v/>
      </c>
      <c r="F6" s="33" t="str">
        <f>IF(C6="","",VLOOKUP(C6,'モンスター　一覧'!$B$4:$E$198,4,FALSE))</f>
        <v/>
      </c>
      <c r="G6" s="101" t="str">
        <f>IF(C6="","",VLOOKUP(C6,'モンスター　一覧'!$B$4:$G$198,5,FALSE))</f>
        <v/>
      </c>
      <c r="H6" s="130"/>
      <c r="I6" s="95"/>
      <c r="J6" s="95"/>
      <c r="K6" s="27"/>
      <c r="L6" s="174"/>
      <c r="M6" s="174"/>
      <c r="N6" s="174"/>
      <c r="O6" s="174"/>
      <c r="P6" s="174"/>
      <c r="Q6" s="174"/>
      <c r="R6" s="176"/>
      <c r="S6" s="176"/>
      <c r="T6" s="33"/>
      <c r="U6" s="33"/>
      <c r="V6" s="35"/>
      <c r="Z6" s="235" t="s">
        <v>815</v>
      </c>
    </row>
    <row r="7" spans="1:26">
      <c r="B7" s="30">
        <v>4</v>
      </c>
      <c r="C7" s="38"/>
      <c r="D7" s="130" t="str">
        <f>IF(C7="","",VLOOKUP(C7,'モンスター　一覧'!$B$4:$E$198,2,FALSE))</f>
        <v/>
      </c>
      <c r="E7" s="95" t="str">
        <f>IF(C7="","",VLOOKUP(C7,'モンスター　一覧'!$B$4:$E$198,3,FALSE))</f>
        <v/>
      </c>
      <c r="F7" s="33" t="str">
        <f>IF(C7="","",VLOOKUP(C7,'モンスター　一覧'!$B$4:$E$198,4,FALSE))</f>
        <v/>
      </c>
      <c r="G7" s="101" t="str">
        <f>IF(C7="","",VLOOKUP(C7,'モンスター　一覧'!$B$4:$G$198,5,FALSE))</f>
        <v/>
      </c>
      <c r="H7" s="130"/>
      <c r="I7" s="95"/>
      <c r="J7" s="95"/>
      <c r="K7" s="27"/>
      <c r="L7" s="174"/>
      <c r="M7" s="174"/>
      <c r="N7" s="174"/>
      <c r="O7" s="174"/>
      <c r="P7" s="174"/>
      <c r="Q7" s="174"/>
      <c r="R7" s="176"/>
      <c r="S7" s="33"/>
      <c r="T7" s="33"/>
      <c r="U7" s="33"/>
      <c r="V7" s="35"/>
      <c r="Z7" s="235" t="s">
        <v>815</v>
      </c>
    </row>
    <row r="8" spans="1:26">
      <c r="B8" s="30">
        <v>5</v>
      </c>
      <c r="C8" s="38"/>
      <c r="D8" s="130" t="str">
        <f>IF(C8="","",VLOOKUP(C8,'モンスター　一覧'!$B$4:$E$198,2,FALSE))</f>
        <v/>
      </c>
      <c r="E8" s="95" t="str">
        <f>IF(C8="","",VLOOKUP(C8,'モンスター　一覧'!$B$4:$E$198,3,FALSE))</f>
        <v/>
      </c>
      <c r="F8" s="33" t="str">
        <f>IF(C8="","",VLOOKUP(C8,'モンスター　一覧'!$B$4:$E$198,4,FALSE))</f>
        <v/>
      </c>
      <c r="G8" s="101" t="str">
        <f>IF(C8="","",VLOOKUP(C8,'モンスター　一覧'!$B$4:$G$198,5,FALSE))</f>
        <v/>
      </c>
      <c r="H8" s="130"/>
      <c r="I8" s="95"/>
      <c r="J8" s="95"/>
      <c r="K8" s="95"/>
      <c r="L8" s="174"/>
      <c r="M8" s="174"/>
      <c r="N8" s="174"/>
      <c r="O8" s="174"/>
      <c r="P8" s="174"/>
      <c r="Q8" s="174"/>
      <c r="R8" s="153"/>
      <c r="S8" s="176"/>
      <c r="T8" s="33"/>
      <c r="U8" s="33"/>
      <c r="V8" s="35"/>
      <c r="Z8" s="235" t="s">
        <v>815</v>
      </c>
    </row>
    <row r="9" spans="1:26">
      <c r="B9" s="30">
        <v>6</v>
      </c>
      <c r="C9" s="38"/>
      <c r="D9" s="130" t="str">
        <f>IF(C9="","",VLOOKUP(C9,'モンスター　一覧'!$B$4:$E$198,2,FALSE))</f>
        <v/>
      </c>
      <c r="E9" s="95" t="str">
        <f>IF(C9="","",VLOOKUP(C9,'モンスター　一覧'!$B$4:$E$198,3,FALSE))</f>
        <v/>
      </c>
      <c r="F9" s="33" t="str">
        <f>IF(C9="","",VLOOKUP(C9,'モンスター　一覧'!$B$4:$E$198,4,FALSE))</f>
        <v/>
      </c>
      <c r="G9" s="101" t="str">
        <f>IF(C9="","",VLOOKUP(C9,'モンスター　一覧'!$B$4:$G$198,5,FALSE))</f>
        <v/>
      </c>
      <c r="H9" s="130"/>
      <c r="I9" s="95"/>
      <c r="J9" s="95"/>
      <c r="K9" s="27"/>
      <c r="L9" s="174"/>
      <c r="M9" s="174"/>
      <c r="N9" s="174"/>
      <c r="O9" s="174"/>
      <c r="P9" s="174"/>
      <c r="Q9" s="174"/>
      <c r="R9" s="33"/>
      <c r="S9" s="33"/>
      <c r="T9" s="33"/>
      <c r="U9" s="33"/>
      <c r="V9" s="35"/>
      <c r="Z9" s="235" t="s">
        <v>815</v>
      </c>
    </row>
    <row r="10" spans="1:26">
      <c r="B10" s="30">
        <v>7</v>
      </c>
      <c r="C10" s="38"/>
      <c r="D10" s="130" t="str">
        <f>IF(C10="","",VLOOKUP(C10,'モンスター　一覧'!$B$4:$E$198,2,FALSE))</f>
        <v/>
      </c>
      <c r="E10" s="95" t="str">
        <f>IF(C10="","",VLOOKUP(C10,'モンスター　一覧'!$B$4:$E$198,3,FALSE))</f>
        <v/>
      </c>
      <c r="F10" s="33" t="str">
        <f>IF(C10="","",VLOOKUP(C10,'モンスター　一覧'!$B$4:$E$198,4,FALSE))</f>
        <v/>
      </c>
      <c r="G10" s="101" t="str">
        <f>IF(C10="","",VLOOKUP(C10,'モンスター　一覧'!$B$4:$G$198,5,FALSE))</f>
        <v/>
      </c>
      <c r="H10" s="130"/>
      <c r="I10" s="95"/>
      <c r="J10" s="95"/>
      <c r="K10" s="27"/>
      <c r="L10" s="174"/>
      <c r="M10" s="174"/>
      <c r="N10" s="174"/>
      <c r="O10" s="174"/>
      <c r="P10" s="174"/>
      <c r="Q10" s="174"/>
      <c r="R10" s="33"/>
      <c r="S10" s="176"/>
      <c r="T10" s="33"/>
      <c r="U10" s="33"/>
      <c r="V10" s="35"/>
      <c r="Z10" s="235" t="s">
        <v>815</v>
      </c>
    </row>
    <row r="11" spans="1:26" ht="14.25" thickBot="1">
      <c r="B11" s="31">
        <v>8</v>
      </c>
      <c r="C11" s="125"/>
      <c r="D11" s="131" t="str">
        <f>IF(C11="","",VLOOKUP(C11,'モンスター　一覧'!$B$4:$E$198,2,FALSE))</f>
        <v/>
      </c>
      <c r="E11" s="32" t="str">
        <f>IF(C11="","",VLOOKUP(C11,'モンスター　一覧'!$B$4:$E$198,3,FALSE))</f>
        <v/>
      </c>
      <c r="F11" s="34" t="str">
        <f>IF(C11="","",VLOOKUP(C11,'モンスター　一覧'!$B$4:$E$198,4,FALSE))</f>
        <v/>
      </c>
      <c r="G11" s="102" t="str">
        <f>IF(C11="","",VLOOKUP(C11,'モンスター　一覧'!$B$4:$G$198,5,FALSE))</f>
        <v/>
      </c>
      <c r="H11" s="130"/>
      <c r="I11" s="96"/>
      <c r="J11" s="96"/>
      <c r="K11" s="32"/>
      <c r="L11" s="175"/>
      <c r="M11" s="175"/>
      <c r="N11" s="175"/>
      <c r="O11" s="175"/>
      <c r="P11" s="175"/>
      <c r="Q11" s="175"/>
      <c r="R11" s="34"/>
      <c r="S11" s="34"/>
      <c r="T11" s="34"/>
      <c r="U11" s="34"/>
      <c r="V11" s="91"/>
      <c r="Z11" s="235" t="s">
        <v>815</v>
      </c>
    </row>
    <row r="12" spans="1:26">
      <c r="G12" s="92"/>
      <c r="H12" s="103"/>
      <c r="Z12" s="235" t="s">
        <v>815</v>
      </c>
    </row>
    <row r="13" spans="1:26" ht="14.25" thickBot="1">
      <c r="B13" s="94" t="s">
        <v>749</v>
      </c>
      <c r="G13" s="92"/>
      <c r="H13" s="222" t="s">
        <v>951</v>
      </c>
      <c r="Z13" s="235" t="s">
        <v>815</v>
      </c>
    </row>
    <row r="14" spans="1:26">
      <c r="B14" s="104" t="s">
        <v>341</v>
      </c>
      <c r="C14" s="105" t="s">
        <v>74</v>
      </c>
      <c r="D14" s="106" t="s">
        <v>308</v>
      </c>
      <c r="E14" s="106" t="s">
        <v>309</v>
      </c>
      <c r="F14" s="107" t="s">
        <v>310</v>
      </c>
      <c r="G14" s="108" t="s">
        <v>86</v>
      </c>
      <c r="H14" s="228" t="s">
        <v>79</v>
      </c>
      <c r="I14" s="229" t="s">
        <v>752</v>
      </c>
      <c r="J14" s="230" t="s">
        <v>751</v>
      </c>
      <c r="K14" s="229" t="s">
        <v>750</v>
      </c>
      <c r="L14" s="229" t="s">
        <v>6</v>
      </c>
      <c r="M14" s="229" t="s">
        <v>7</v>
      </c>
      <c r="N14" s="229" t="s">
        <v>8</v>
      </c>
      <c r="O14" s="229" t="s">
        <v>9</v>
      </c>
      <c r="P14" s="229" t="s">
        <v>332</v>
      </c>
      <c r="Q14" s="229" t="s">
        <v>11</v>
      </c>
      <c r="R14" s="231" t="s">
        <v>311</v>
      </c>
      <c r="S14" s="231" t="s">
        <v>312</v>
      </c>
      <c r="T14" s="231" t="s">
        <v>770</v>
      </c>
      <c r="U14" s="232" t="s">
        <v>950</v>
      </c>
      <c r="V14" s="233" t="s">
        <v>949</v>
      </c>
      <c r="Z14" s="235" t="s">
        <v>815</v>
      </c>
    </row>
    <row r="15" spans="1:26">
      <c r="B15" s="30">
        <v>1</v>
      </c>
      <c r="C15" s="38"/>
      <c r="D15" s="130" t="str">
        <f>IF(C15="","",VLOOKUP(C15,'モンスター　一覧'!$B$4:$E$198,2,FALSE))</f>
        <v/>
      </c>
      <c r="E15" s="95" t="str">
        <f>IF(C15="","",VLOOKUP(C15,'モンスター　一覧'!$B$4:$E$198,3,FALSE))</f>
        <v/>
      </c>
      <c r="F15" s="33" t="str">
        <f>IF(C15="","",VLOOKUP(C15,'モンスター　一覧'!$B$4:$E$198,4,FALSE))</f>
        <v/>
      </c>
      <c r="G15" s="101" t="str">
        <f>IF(C15="","",VLOOKUP(C15,'モンスター　一覧'!$B$4:$G$198,5,FALSE))</f>
        <v/>
      </c>
      <c r="H15" s="130"/>
      <c r="I15" s="95"/>
      <c r="J15" s="95"/>
      <c r="K15" s="27"/>
      <c r="L15" s="174"/>
      <c r="M15" s="174"/>
      <c r="N15" s="174"/>
      <c r="O15" s="174"/>
      <c r="P15" s="174"/>
      <c r="Q15" s="174"/>
      <c r="R15" s="176"/>
      <c r="S15" s="33"/>
      <c r="T15" s="33"/>
      <c r="U15" s="33"/>
      <c r="V15" s="35"/>
      <c r="Z15" s="235" t="s">
        <v>815</v>
      </c>
    </row>
    <row r="16" spans="1:26">
      <c r="B16" s="30">
        <v>2</v>
      </c>
      <c r="C16" s="38"/>
      <c r="D16" s="130" t="str">
        <f>IF(C16="","",VLOOKUP(C16,'モンスター　一覧'!$B$4:$E$198,2,FALSE))</f>
        <v/>
      </c>
      <c r="E16" s="95" t="str">
        <f>IF(C16="","",VLOOKUP(C16,'モンスター　一覧'!$B$4:$E$198,3,FALSE))</f>
        <v/>
      </c>
      <c r="F16" s="33" t="str">
        <f>IF(C16="","",VLOOKUP(C16,'モンスター　一覧'!$B$4:$E$198,4,FALSE))</f>
        <v/>
      </c>
      <c r="G16" s="101" t="str">
        <f>IF(C16="","",VLOOKUP(C16,'モンスター　一覧'!$B$4:$G$198,5,FALSE))</f>
        <v/>
      </c>
      <c r="H16" s="130"/>
      <c r="I16" s="95"/>
      <c r="J16" s="95"/>
      <c r="K16" s="27"/>
      <c r="L16" s="27"/>
      <c r="M16" s="27"/>
      <c r="N16" s="27"/>
      <c r="O16" s="27"/>
      <c r="P16" s="27"/>
      <c r="Q16" s="27"/>
      <c r="R16" s="27"/>
      <c r="S16" s="11"/>
      <c r="U16" s="33"/>
      <c r="V16" s="35"/>
      <c r="Z16" s="235" t="s">
        <v>815</v>
      </c>
    </row>
    <row r="17" spans="2:29">
      <c r="B17" s="30">
        <v>3</v>
      </c>
      <c r="C17" s="38"/>
      <c r="D17" s="130" t="str">
        <f>IF(C17="","",VLOOKUP(C17,'モンスター　一覧'!$B$4:$E$198,2,FALSE))</f>
        <v/>
      </c>
      <c r="E17" s="95" t="str">
        <f>IF(C17="","",VLOOKUP(C17,'モンスター　一覧'!$B$4:$E$198,3,FALSE))</f>
        <v/>
      </c>
      <c r="F17" s="33" t="str">
        <f>IF(C17="","",VLOOKUP(C17,'モンスター　一覧'!$B$4:$E$198,4,FALSE))</f>
        <v/>
      </c>
      <c r="G17" s="101" t="str">
        <f>IF(C17="","",VLOOKUP(C17,'モンスター　一覧'!$B$4:$G$198,5,FALSE))</f>
        <v/>
      </c>
      <c r="H17" s="130"/>
      <c r="I17" s="95"/>
      <c r="J17" s="95"/>
      <c r="K17" s="27"/>
      <c r="L17" s="27"/>
      <c r="M17" s="27"/>
      <c r="N17" s="27"/>
      <c r="O17" s="27"/>
      <c r="P17" s="27"/>
      <c r="Q17" s="27"/>
      <c r="R17" s="27"/>
      <c r="S17" s="11"/>
      <c r="T17" s="11"/>
      <c r="U17" s="33"/>
      <c r="V17" s="35"/>
      <c r="Z17" s="235" t="s">
        <v>815</v>
      </c>
    </row>
    <row r="18" spans="2:29">
      <c r="B18" s="30">
        <v>4</v>
      </c>
      <c r="C18" s="38"/>
      <c r="D18" s="130" t="str">
        <f>IF(C18="","",VLOOKUP(C18,'モンスター　一覧'!$B$4:$E$198,2,FALSE))</f>
        <v/>
      </c>
      <c r="E18" s="95" t="str">
        <f>IF(C18="","",VLOOKUP(C18,'モンスター　一覧'!$B$4:$E$198,3,FALSE))</f>
        <v/>
      </c>
      <c r="F18" s="33" t="str">
        <f>IF(C18="","",VLOOKUP(C18,'モンスター　一覧'!$B$4:$E$198,4,FALSE))</f>
        <v/>
      </c>
      <c r="G18" s="101" t="str">
        <f>IF(C18="","",VLOOKUP(C18,'モンスター　一覧'!$B$4:$G$198,5,FALSE))</f>
        <v/>
      </c>
      <c r="H18" s="130"/>
      <c r="I18" s="95"/>
      <c r="J18" s="95"/>
      <c r="K18" s="27"/>
      <c r="L18" s="27"/>
      <c r="M18" s="27"/>
      <c r="N18" s="27"/>
      <c r="O18" s="27"/>
      <c r="P18" s="27"/>
      <c r="Q18" s="27"/>
      <c r="R18" s="33"/>
      <c r="S18" s="33"/>
      <c r="T18" s="33"/>
      <c r="U18" s="33"/>
      <c r="V18" s="35"/>
      <c r="Z18" s="235" t="s">
        <v>815</v>
      </c>
    </row>
    <row r="19" spans="2:29">
      <c r="B19" s="30">
        <v>5</v>
      </c>
      <c r="C19" s="38"/>
      <c r="D19" s="130" t="str">
        <f>IF(C19="","",VLOOKUP(C19,'モンスター　一覧'!$B$4:$E$198,2,FALSE))</f>
        <v/>
      </c>
      <c r="E19" s="95" t="str">
        <f>IF(C19="","",VLOOKUP(C19,'モンスター　一覧'!$B$4:$E$198,3,FALSE))</f>
        <v/>
      </c>
      <c r="F19" s="33" t="str">
        <f>IF(C19="","",VLOOKUP(C19,'モンスター　一覧'!$B$4:$E$198,4,FALSE))</f>
        <v/>
      </c>
      <c r="G19" s="101" t="str">
        <f>IF(C19="","",VLOOKUP(C19,'モンスター　一覧'!$B$4:$G$198,5,FALSE))</f>
        <v/>
      </c>
      <c r="H19" s="154"/>
      <c r="I19" s="97"/>
      <c r="J19" s="97"/>
      <c r="K19" s="98"/>
      <c r="L19" s="98"/>
      <c r="M19" s="98"/>
      <c r="N19" s="98"/>
      <c r="O19" s="98"/>
      <c r="P19" s="98"/>
      <c r="Q19" s="98"/>
      <c r="R19" s="99"/>
      <c r="S19" s="99"/>
      <c r="T19" s="99"/>
      <c r="U19" s="99"/>
      <c r="V19" s="155"/>
      <c r="Z19" s="235" t="s">
        <v>235</v>
      </c>
    </row>
    <row r="20" spans="2:29">
      <c r="B20" s="30">
        <v>6</v>
      </c>
      <c r="C20" s="38"/>
      <c r="D20" s="130" t="str">
        <f>IF(C20="","",VLOOKUP(C20,'モンスター　一覧'!$B$4:$E$198,2,FALSE))</f>
        <v/>
      </c>
      <c r="E20" s="95" t="str">
        <f>IF(C20="","",VLOOKUP(C20,'モンスター　一覧'!$B$4:$E$198,3,FALSE))</f>
        <v/>
      </c>
      <c r="F20" s="33" t="str">
        <f>IF(C20="","",VLOOKUP(C20,'モンスター　一覧'!$B$4:$E$198,4,FALSE))</f>
        <v/>
      </c>
      <c r="G20" s="101" t="str">
        <f>IF(C20="","",VLOOKUP(C20,'モンスター　一覧'!$B$4:$G$198,5,FALSE))</f>
        <v/>
      </c>
      <c r="H20" s="154"/>
      <c r="I20" s="97"/>
      <c r="J20" s="97"/>
      <c r="K20" s="98"/>
      <c r="L20" s="98"/>
      <c r="M20" s="98"/>
      <c r="N20" s="98"/>
      <c r="O20" s="98"/>
      <c r="P20" s="98"/>
      <c r="Q20" s="98"/>
      <c r="R20" s="99"/>
      <c r="S20" s="99"/>
      <c r="T20" s="99"/>
      <c r="U20" s="99"/>
      <c r="V20" s="155"/>
      <c r="Z20" s="235" t="s">
        <v>164</v>
      </c>
      <c r="AB20" s="40">
        <v>248</v>
      </c>
      <c r="AC20" s="41">
        <v>46</v>
      </c>
    </row>
    <row r="21" spans="2:29">
      <c r="B21" s="30">
        <v>7</v>
      </c>
      <c r="C21" s="38"/>
      <c r="D21" s="130" t="str">
        <f>IF(C21="","",VLOOKUP(C21,'モンスター　一覧'!$B$4:$E$198,2,FALSE))</f>
        <v/>
      </c>
      <c r="E21" s="95" t="str">
        <f>IF(C21="","",VLOOKUP(C21,'モンスター　一覧'!$B$4:$E$198,3,FALSE))</f>
        <v/>
      </c>
      <c r="F21" s="33" t="str">
        <f>IF(C21="","",VLOOKUP(C21,'モンスター　一覧'!$B$4:$E$198,4,FALSE))</f>
        <v/>
      </c>
      <c r="G21" s="101" t="str">
        <f>IF(C21="","",VLOOKUP(C21,'モンスター　一覧'!$B$4:$G$198,5,FALSE))</f>
        <v/>
      </c>
      <c r="H21" s="154"/>
      <c r="I21" s="97"/>
      <c r="J21" s="97"/>
      <c r="K21" s="98"/>
      <c r="L21" s="98"/>
      <c r="M21" s="98"/>
      <c r="N21" s="98"/>
      <c r="O21" s="98"/>
      <c r="P21" s="98"/>
      <c r="Q21" s="98"/>
      <c r="R21" s="99"/>
      <c r="S21" s="99"/>
      <c r="T21" s="99"/>
      <c r="U21" s="99"/>
      <c r="V21" s="155"/>
      <c r="Z21" s="235" t="s">
        <v>201</v>
      </c>
    </row>
    <row r="22" spans="2:29">
      <c r="B22" s="30">
        <v>8</v>
      </c>
      <c r="C22" s="38"/>
      <c r="D22" s="130" t="str">
        <f>IF(C22="","",VLOOKUP(C22,'モンスター　一覧'!$B$4:$E$198,2,FALSE))</f>
        <v/>
      </c>
      <c r="E22" s="95" t="str">
        <f>IF(C22="","",VLOOKUP(C22,'モンスター　一覧'!$B$4:$E$198,3,FALSE))</f>
        <v/>
      </c>
      <c r="F22" s="33" t="str">
        <f>IF(C22="","",VLOOKUP(C22,'モンスター　一覧'!$B$4:$E$198,4,FALSE))</f>
        <v/>
      </c>
      <c r="G22" s="101" t="str">
        <f>IF(C22="","",VLOOKUP(C22,'モンスター　一覧'!$B$4:$G$198,5,FALSE))</f>
        <v/>
      </c>
      <c r="H22" s="154"/>
      <c r="I22" s="97"/>
      <c r="J22" s="97"/>
      <c r="K22" s="98"/>
      <c r="L22" s="98"/>
      <c r="M22" s="98"/>
      <c r="N22" s="98"/>
      <c r="O22" s="98"/>
      <c r="P22" s="98"/>
      <c r="Q22" s="98"/>
      <c r="R22" s="99"/>
      <c r="S22" s="99"/>
      <c r="T22" s="99"/>
      <c r="U22" s="99"/>
      <c r="V22" s="155"/>
      <c r="Z22" s="235" t="s">
        <v>155</v>
      </c>
      <c r="AB22" s="40">
        <v>212</v>
      </c>
      <c r="AC22" s="41">
        <v>38</v>
      </c>
    </row>
    <row r="23" spans="2:29">
      <c r="B23" s="30">
        <v>9</v>
      </c>
      <c r="C23" s="38"/>
      <c r="D23" s="130" t="str">
        <f>IF(C23="","",VLOOKUP(C23,'モンスター　一覧'!$B$4:$E$198,2,FALSE))</f>
        <v/>
      </c>
      <c r="E23" s="95" t="str">
        <f>IF(C23="","",VLOOKUP(C23,'モンスター　一覧'!$B$4:$E$198,3,FALSE))</f>
        <v/>
      </c>
      <c r="F23" s="33" t="str">
        <f>IF(C23="","",VLOOKUP(C23,'モンスター　一覧'!$B$4:$E$198,4,FALSE))</f>
        <v/>
      </c>
      <c r="G23" s="101" t="str">
        <f>IF(C23="","",VLOOKUP(C23,'モンスター　一覧'!$B$4:$G$198,5,FALSE))</f>
        <v/>
      </c>
      <c r="H23" s="154"/>
      <c r="I23" s="97"/>
      <c r="J23" s="97"/>
      <c r="K23" s="98"/>
      <c r="L23" s="98"/>
      <c r="M23" s="98"/>
      <c r="N23" s="98"/>
      <c r="O23" s="98"/>
      <c r="P23" s="98"/>
      <c r="Q23" s="98"/>
      <c r="R23" s="99"/>
      <c r="S23" s="99"/>
      <c r="T23" s="99"/>
      <c r="U23" s="99"/>
      <c r="V23" s="155"/>
      <c r="Z23" s="235" t="s">
        <v>133</v>
      </c>
      <c r="AA23" s="100" t="s">
        <v>36</v>
      </c>
      <c r="AB23" s="40">
        <v>102</v>
      </c>
      <c r="AC23" s="41">
        <v>12</v>
      </c>
    </row>
    <row r="24" spans="2:29" ht="14.25" thickBot="1">
      <c r="B24" s="31">
        <v>10</v>
      </c>
      <c r="C24" s="125"/>
      <c r="D24" s="131" t="str">
        <f>IF(C24="","",VLOOKUP(C24,'モンスター　一覧'!$B$4:$E$198,2,FALSE))</f>
        <v/>
      </c>
      <c r="E24" s="96" t="str">
        <f>IF(C24="","",VLOOKUP(C24,'モンスター　一覧'!$B$4:$E$198,3,FALSE))</f>
        <v/>
      </c>
      <c r="F24" s="34" t="str">
        <f>IF(C24="","",VLOOKUP(C24,'モンスター　一覧'!$B$4:$E$198,4,FALSE))</f>
        <v/>
      </c>
      <c r="G24" s="102" t="str">
        <f>IF(C24="","",VLOOKUP(C24,'モンスター　一覧'!$B$4:$G$198,5,FALSE))</f>
        <v/>
      </c>
      <c r="H24" s="132"/>
      <c r="I24" s="96"/>
      <c r="J24" s="96"/>
      <c r="K24" s="32"/>
      <c r="L24" s="32"/>
      <c r="M24" s="32"/>
      <c r="N24" s="32"/>
      <c r="O24" s="32"/>
      <c r="P24" s="32"/>
      <c r="Q24" s="32"/>
      <c r="R24" s="34"/>
      <c r="S24" s="34"/>
      <c r="T24" s="34"/>
      <c r="U24" s="34"/>
      <c r="V24" s="36"/>
      <c r="Z24" s="235" t="s">
        <v>127</v>
      </c>
      <c r="AA24" s="100" t="s">
        <v>26</v>
      </c>
      <c r="AB24" s="40">
        <v>99</v>
      </c>
      <c r="AC24" s="41">
        <v>11</v>
      </c>
    </row>
    <row r="25" spans="2:29" ht="14.25" thickBot="1">
      <c r="Z25" s="235" t="s">
        <v>918</v>
      </c>
    </row>
    <row r="26" spans="2:29" ht="14.25" thickBot="1">
      <c r="C26" s="28" t="s">
        <v>307</v>
      </c>
      <c r="D26" s="251">
        <f>SUM(F4:F11)</f>
        <v>0</v>
      </c>
      <c r="E26" s="252"/>
      <c r="H26" s="25" t="s">
        <v>942</v>
      </c>
      <c r="Z26" s="235" t="s">
        <v>204</v>
      </c>
    </row>
    <row r="27" spans="2:29" ht="14.25" thickBot="1">
      <c r="D27" s="253"/>
      <c r="E27" s="254"/>
      <c r="H27" s="236" t="s">
        <v>946</v>
      </c>
      <c r="I27" s="259" t="s">
        <v>947</v>
      </c>
      <c r="J27" s="259"/>
      <c r="K27" s="259"/>
      <c r="L27" s="259"/>
      <c r="M27" s="259"/>
      <c r="N27" s="259"/>
      <c r="O27" s="259"/>
      <c r="P27" s="259"/>
      <c r="Q27" s="260"/>
      <c r="Z27" s="235" t="s">
        <v>912</v>
      </c>
    </row>
    <row r="28" spans="2:29">
      <c r="H28" s="30"/>
      <c r="I28" s="261"/>
      <c r="J28" s="261"/>
      <c r="K28" s="261"/>
      <c r="L28" s="261"/>
      <c r="M28" s="261"/>
      <c r="N28" s="261"/>
      <c r="O28" s="261"/>
      <c r="P28" s="261"/>
      <c r="Q28" s="262"/>
      <c r="Z28" s="235" t="s">
        <v>89</v>
      </c>
      <c r="AA28" s="100" t="s">
        <v>33</v>
      </c>
      <c r="AB28" s="40"/>
      <c r="AC28" s="41"/>
    </row>
    <row r="29" spans="2:29" ht="14.25" thickBot="1">
      <c r="H29" s="30"/>
      <c r="I29" s="261"/>
      <c r="J29" s="261"/>
      <c r="K29" s="261"/>
      <c r="L29" s="261"/>
      <c r="M29" s="261"/>
      <c r="N29" s="261"/>
      <c r="O29" s="261"/>
      <c r="P29" s="261"/>
      <c r="Q29" s="262"/>
      <c r="Z29" s="235" t="s">
        <v>158</v>
      </c>
      <c r="AB29" s="40">
        <v>228</v>
      </c>
      <c r="AC29" s="41">
        <v>41</v>
      </c>
    </row>
    <row r="30" spans="2:29" ht="14.25" thickBot="1">
      <c r="C30" s="39" t="s">
        <v>313</v>
      </c>
      <c r="D30" s="255">
        <f>IF(D26=0,0,IF(VLOOKUP(D26,AB2:AC69,2,TRUE)&lt;D26,(VLOOKUP(D26,AB2:AC69,2,TRUE)+1)))</f>
        <v>0</v>
      </c>
      <c r="E30" s="256"/>
      <c r="H30" s="31"/>
      <c r="I30" s="263"/>
      <c r="J30" s="263"/>
      <c r="K30" s="263"/>
      <c r="L30" s="263"/>
      <c r="M30" s="263"/>
      <c r="N30" s="263"/>
      <c r="O30" s="263"/>
      <c r="P30" s="263"/>
      <c r="Q30" s="264"/>
      <c r="Z30" s="235" t="s">
        <v>212</v>
      </c>
    </row>
    <row r="31" spans="2:29" ht="14.25" thickBot="1">
      <c r="D31" s="257"/>
      <c r="E31" s="258"/>
      <c r="Z31" s="235" t="s">
        <v>906</v>
      </c>
    </row>
    <row r="32" spans="2:29">
      <c r="D32" t="s">
        <v>340</v>
      </c>
      <c r="Z32" s="235" t="s">
        <v>139</v>
      </c>
      <c r="AA32" s="100" t="s">
        <v>45</v>
      </c>
      <c r="AB32" s="40">
        <v>133</v>
      </c>
      <c r="AC32" s="41">
        <v>19</v>
      </c>
    </row>
    <row r="33" spans="26:29">
      <c r="Z33" s="235" t="s">
        <v>216</v>
      </c>
    </row>
    <row r="34" spans="26:29">
      <c r="Z34" s="235" t="s">
        <v>138</v>
      </c>
      <c r="AA34" s="100" t="s">
        <v>40</v>
      </c>
      <c r="AB34" s="40">
        <v>121</v>
      </c>
      <c r="AC34" s="41">
        <v>15</v>
      </c>
    </row>
    <row r="35" spans="26:29">
      <c r="Z35" s="235" t="s">
        <v>99</v>
      </c>
      <c r="AA35" s="100" t="s">
        <v>48</v>
      </c>
      <c r="AB35" s="40">
        <v>150</v>
      </c>
      <c r="AC35" s="41">
        <v>22</v>
      </c>
    </row>
    <row r="36" spans="26:29">
      <c r="Z36" s="235" t="s">
        <v>101</v>
      </c>
      <c r="AA36" s="100" t="s">
        <v>52</v>
      </c>
      <c r="AB36" s="40">
        <v>166</v>
      </c>
      <c r="AC36" s="41">
        <v>25</v>
      </c>
    </row>
    <row r="37" spans="26:29">
      <c r="Z37" s="235" t="s">
        <v>174</v>
      </c>
      <c r="AB37" s="40">
        <v>272</v>
      </c>
      <c r="AC37" s="41">
        <v>53</v>
      </c>
    </row>
    <row r="38" spans="26:29">
      <c r="Z38" s="235" t="s">
        <v>126</v>
      </c>
      <c r="AA38" s="100" t="s">
        <v>24</v>
      </c>
      <c r="AB38" s="40">
        <v>83</v>
      </c>
      <c r="AC38" s="41">
        <v>9</v>
      </c>
    </row>
    <row r="39" spans="26:29">
      <c r="Z39" s="235" t="s">
        <v>914</v>
      </c>
    </row>
    <row r="40" spans="26:29">
      <c r="Z40" s="235" t="s">
        <v>236</v>
      </c>
    </row>
    <row r="41" spans="26:29">
      <c r="Z41" s="235" t="s">
        <v>811</v>
      </c>
    </row>
    <row r="42" spans="26:29">
      <c r="Z42" s="235" t="s">
        <v>97</v>
      </c>
      <c r="AA42" s="100" t="s">
        <v>46</v>
      </c>
      <c r="AB42" s="40">
        <v>146</v>
      </c>
      <c r="AC42" s="41">
        <v>20</v>
      </c>
    </row>
    <row r="43" spans="26:29">
      <c r="Z43" s="235" t="s">
        <v>107</v>
      </c>
      <c r="AA43" s="100" t="s">
        <v>60</v>
      </c>
      <c r="AB43" s="40">
        <v>208</v>
      </c>
      <c r="AC43" s="41">
        <v>36</v>
      </c>
    </row>
    <row r="44" spans="26:29">
      <c r="Z44" s="235" t="s">
        <v>233</v>
      </c>
    </row>
    <row r="45" spans="26:29">
      <c r="Z45" s="235" t="s">
        <v>251</v>
      </c>
    </row>
    <row r="46" spans="26:29">
      <c r="Z46" s="235" t="s">
        <v>189</v>
      </c>
    </row>
    <row r="47" spans="26:29">
      <c r="Z47" s="235" t="s">
        <v>157</v>
      </c>
      <c r="AB47" s="40">
        <v>226</v>
      </c>
      <c r="AC47" s="41">
        <v>40</v>
      </c>
    </row>
    <row r="48" spans="26:29">
      <c r="Z48" s="235" t="s">
        <v>916</v>
      </c>
    </row>
    <row r="49" spans="26:29">
      <c r="Z49" s="235" t="s">
        <v>149</v>
      </c>
      <c r="AA49" s="100" t="s">
        <v>59</v>
      </c>
      <c r="AB49" s="40">
        <v>188</v>
      </c>
      <c r="AC49" s="41">
        <v>31</v>
      </c>
    </row>
    <row r="50" spans="26:29">
      <c r="Z50" s="235" t="s">
        <v>245</v>
      </c>
    </row>
    <row r="51" spans="26:29">
      <c r="Z51" s="235" t="s">
        <v>110</v>
      </c>
    </row>
    <row r="52" spans="26:29">
      <c r="Z52" s="235" t="s">
        <v>935</v>
      </c>
    </row>
    <row r="53" spans="26:29">
      <c r="Z53" s="235" t="s">
        <v>939</v>
      </c>
    </row>
    <row r="54" spans="26:29">
      <c r="Z54" s="235" t="s">
        <v>809</v>
      </c>
    </row>
    <row r="55" spans="26:29">
      <c r="Z55" s="235" t="s">
        <v>214</v>
      </c>
    </row>
    <row r="56" spans="26:29">
      <c r="Z56" s="235" t="s">
        <v>163</v>
      </c>
      <c r="AB56" s="40">
        <v>246</v>
      </c>
      <c r="AC56" s="41">
        <v>45</v>
      </c>
    </row>
    <row r="57" spans="26:29">
      <c r="Z57" s="235" t="s">
        <v>100</v>
      </c>
      <c r="AA57" s="100" t="s">
        <v>50</v>
      </c>
      <c r="AB57" s="40">
        <v>152</v>
      </c>
      <c r="AC57" s="41">
        <v>23</v>
      </c>
    </row>
    <row r="58" spans="26:29">
      <c r="Z58" s="235" t="s">
        <v>922</v>
      </c>
    </row>
    <row r="59" spans="26:29">
      <c r="Z59" s="235" t="s">
        <v>218</v>
      </c>
    </row>
    <row r="60" spans="26:29">
      <c r="Z60" s="235" t="s">
        <v>169</v>
      </c>
      <c r="AB60" s="40">
        <v>266</v>
      </c>
      <c r="AC60" s="41">
        <v>50</v>
      </c>
    </row>
    <row r="61" spans="26:29">
      <c r="Z61" s="235" t="s">
        <v>181</v>
      </c>
      <c r="AB61" s="40">
        <v>292</v>
      </c>
      <c r="AC61" s="41">
        <v>58</v>
      </c>
    </row>
    <row r="62" spans="26:29">
      <c r="Z62" s="235" t="s">
        <v>153</v>
      </c>
      <c r="AA62" s="100" t="s">
        <v>41</v>
      </c>
      <c r="AB62" s="40">
        <v>194</v>
      </c>
      <c r="AC62" s="41">
        <v>34</v>
      </c>
    </row>
    <row r="63" spans="26:29">
      <c r="Z63" s="235" t="s">
        <v>184</v>
      </c>
    </row>
    <row r="64" spans="26:29">
      <c r="Z64" s="235" t="s">
        <v>142</v>
      </c>
      <c r="AA64" s="100" t="s">
        <v>54</v>
      </c>
      <c r="AB64" s="40">
        <v>170</v>
      </c>
      <c r="AC64" s="41">
        <v>27</v>
      </c>
    </row>
    <row r="65" spans="26:29">
      <c r="Z65" s="235" t="s">
        <v>162</v>
      </c>
      <c r="AB65" s="40">
        <v>234</v>
      </c>
      <c r="AC65" s="41">
        <v>44</v>
      </c>
    </row>
    <row r="66" spans="26:29">
      <c r="Z66" s="235" t="s">
        <v>247</v>
      </c>
    </row>
    <row r="67" spans="26:29">
      <c r="Z67" s="235" t="s">
        <v>123</v>
      </c>
      <c r="AA67" s="100" t="s">
        <v>317</v>
      </c>
      <c r="AB67" s="40">
        <v>71</v>
      </c>
      <c r="AC67" s="41">
        <v>5</v>
      </c>
    </row>
    <row r="68" spans="26:29">
      <c r="Z68" s="235" t="s">
        <v>192</v>
      </c>
    </row>
    <row r="69" spans="26:29">
      <c r="Z69" s="235" t="s">
        <v>78</v>
      </c>
      <c r="AA69" s="100" t="s">
        <v>23</v>
      </c>
      <c r="AB69" s="40">
        <v>80</v>
      </c>
      <c r="AC69" s="41">
        <v>8</v>
      </c>
    </row>
    <row r="70" spans="26:29">
      <c r="Z70" s="235" t="s">
        <v>209</v>
      </c>
    </row>
    <row r="71" spans="26:29">
      <c r="Z71" s="235" t="s">
        <v>219</v>
      </c>
    </row>
    <row r="72" spans="26:29">
      <c r="Z72" s="235" t="s">
        <v>238</v>
      </c>
    </row>
    <row r="73" spans="26:29">
      <c r="Z73" s="235" t="s">
        <v>910</v>
      </c>
    </row>
    <row r="74" spans="26:29">
      <c r="Z74" s="235" t="s">
        <v>82</v>
      </c>
      <c r="AA74" s="100" t="s">
        <v>25</v>
      </c>
      <c r="AB74" s="40">
        <v>96</v>
      </c>
      <c r="AC74" s="41">
        <v>10</v>
      </c>
    </row>
    <row r="75" spans="26:29">
      <c r="Z75" s="235" t="s">
        <v>933</v>
      </c>
    </row>
    <row r="76" spans="26:29">
      <c r="Z76" s="235" t="s">
        <v>230</v>
      </c>
    </row>
    <row r="77" spans="26:29">
      <c r="Z77" s="235" t="s">
        <v>137</v>
      </c>
      <c r="AA77" s="100" t="s">
        <v>38</v>
      </c>
      <c r="AB77" s="40">
        <v>108</v>
      </c>
      <c r="AC77" s="41">
        <v>14</v>
      </c>
    </row>
    <row r="78" spans="26:29">
      <c r="Z78" s="235" t="s">
        <v>239</v>
      </c>
    </row>
    <row r="79" spans="26:29">
      <c r="Z79" s="235" t="s">
        <v>115</v>
      </c>
      <c r="AA79" s="100" t="s">
        <v>55</v>
      </c>
      <c r="AB79" s="40">
        <v>45</v>
      </c>
      <c r="AC79" s="41">
        <v>1</v>
      </c>
    </row>
    <row r="80" spans="26:29">
      <c r="Z80" s="235" t="s">
        <v>146</v>
      </c>
      <c r="AA80" s="100" t="s">
        <v>57</v>
      </c>
      <c r="AB80" s="40">
        <v>174</v>
      </c>
      <c r="AC80" s="41">
        <v>29</v>
      </c>
    </row>
    <row r="81" spans="26:29">
      <c r="Z81" s="235" t="s">
        <v>121</v>
      </c>
      <c r="AA81" s="100" t="s">
        <v>316</v>
      </c>
      <c r="AB81" s="40">
        <v>57</v>
      </c>
      <c r="AC81" s="41">
        <v>4</v>
      </c>
    </row>
    <row r="82" spans="26:29">
      <c r="Z82" s="235" t="s">
        <v>125</v>
      </c>
      <c r="AA82" s="100" t="s">
        <v>22</v>
      </c>
      <c r="AB82" s="40">
        <v>77</v>
      </c>
      <c r="AC82" s="41">
        <v>7</v>
      </c>
    </row>
    <row r="83" spans="26:29">
      <c r="Z83" s="235" t="s">
        <v>124</v>
      </c>
      <c r="AA83" s="100" t="s">
        <v>21</v>
      </c>
      <c r="AB83" s="40">
        <v>74</v>
      </c>
      <c r="AC83" s="41">
        <v>6</v>
      </c>
    </row>
    <row r="84" spans="26:29">
      <c r="Z84" s="235" t="s">
        <v>194</v>
      </c>
    </row>
    <row r="85" spans="26:29">
      <c r="Z85" s="235" t="s">
        <v>925</v>
      </c>
    </row>
    <row r="86" spans="26:29">
      <c r="Z86" s="235" t="s">
        <v>228</v>
      </c>
    </row>
    <row r="87" spans="26:29">
      <c r="Z87" s="235" t="s">
        <v>226</v>
      </c>
    </row>
    <row r="88" spans="26:29">
      <c r="Z88" s="235" t="s">
        <v>202</v>
      </c>
    </row>
    <row r="89" spans="26:29">
      <c r="Z89" s="235" t="s">
        <v>179</v>
      </c>
      <c r="AB89" s="40">
        <v>288</v>
      </c>
      <c r="AC89" s="41">
        <v>56</v>
      </c>
    </row>
    <row r="90" spans="26:29">
      <c r="Z90" s="235" t="s">
        <v>141</v>
      </c>
      <c r="AA90" s="100" t="s">
        <v>51</v>
      </c>
      <c r="AB90" s="40">
        <v>154</v>
      </c>
      <c r="AC90" s="41">
        <v>24</v>
      </c>
    </row>
    <row r="91" spans="26:29">
      <c r="Z91" s="235" t="s">
        <v>180</v>
      </c>
      <c r="AB91" s="40">
        <v>290</v>
      </c>
      <c r="AC91" s="41">
        <v>57</v>
      </c>
    </row>
    <row r="92" spans="26:29">
      <c r="Z92" s="235" t="s">
        <v>900</v>
      </c>
    </row>
    <row r="93" spans="26:29">
      <c r="Z93" s="235" t="s">
        <v>211</v>
      </c>
    </row>
    <row r="94" spans="26:29">
      <c r="Z94" s="235" t="s">
        <v>186</v>
      </c>
    </row>
    <row r="95" spans="26:29">
      <c r="Z95" s="235" t="s">
        <v>93</v>
      </c>
      <c r="AA95" s="100" t="s">
        <v>39</v>
      </c>
      <c r="AB95" s="40">
        <v>124</v>
      </c>
      <c r="AC95" s="41">
        <v>16</v>
      </c>
    </row>
    <row r="96" spans="26:29">
      <c r="Z96" s="235" t="s">
        <v>152</v>
      </c>
    </row>
    <row r="97" spans="26:29">
      <c r="Z97" s="235" t="s">
        <v>106</v>
      </c>
      <c r="AA97" s="100" t="s">
        <v>63</v>
      </c>
      <c r="AB97" s="40">
        <v>192</v>
      </c>
      <c r="AC97" s="41">
        <v>33</v>
      </c>
    </row>
    <row r="98" spans="26:29">
      <c r="Z98" s="235" t="s">
        <v>896</v>
      </c>
    </row>
    <row r="99" spans="26:29">
      <c r="Z99" s="235" t="s">
        <v>96</v>
      </c>
      <c r="AA99" s="100" t="s">
        <v>44</v>
      </c>
      <c r="AB99" s="40">
        <v>130</v>
      </c>
      <c r="AC99" s="41">
        <v>18</v>
      </c>
    </row>
    <row r="100" spans="26:29">
      <c r="Z100" s="235" t="s">
        <v>825</v>
      </c>
    </row>
    <row r="101" spans="26:29">
      <c r="Z101" s="235" t="s">
        <v>234</v>
      </c>
    </row>
    <row r="102" spans="26:29">
      <c r="Z102" s="235" t="s">
        <v>256</v>
      </c>
    </row>
    <row r="103" spans="26:29">
      <c r="Z103" s="235" t="s">
        <v>88</v>
      </c>
      <c r="AA103" s="100" t="s">
        <v>32</v>
      </c>
      <c r="AB103" s="40"/>
      <c r="AC103" s="41"/>
    </row>
    <row r="104" spans="26:29">
      <c r="Z104" s="235" t="s">
        <v>937</v>
      </c>
    </row>
    <row r="105" spans="26:29">
      <c r="Z105" s="235" t="s">
        <v>813</v>
      </c>
    </row>
    <row r="106" spans="26:29">
      <c r="Z106" s="235" t="s">
        <v>165</v>
      </c>
      <c r="AB106" s="40">
        <v>250</v>
      </c>
      <c r="AC106" s="41">
        <v>47</v>
      </c>
    </row>
    <row r="107" spans="26:29">
      <c r="Z107" s="235" t="s">
        <v>826</v>
      </c>
    </row>
    <row r="108" spans="26:29">
      <c r="Z108" s="235" t="s">
        <v>904</v>
      </c>
    </row>
    <row r="109" spans="26:29">
      <c r="Z109" s="235" t="s">
        <v>118</v>
      </c>
      <c r="AA109" s="100" t="s">
        <v>12</v>
      </c>
      <c r="AB109" s="40">
        <v>49</v>
      </c>
      <c r="AC109" s="41">
        <v>2</v>
      </c>
    </row>
    <row r="110" spans="26:29">
      <c r="Z110" s="235" t="s">
        <v>927</v>
      </c>
    </row>
    <row r="111" spans="26:29">
      <c r="Z111" s="235" t="s">
        <v>176</v>
      </c>
      <c r="AB111" s="40">
        <v>274</v>
      </c>
      <c r="AC111" s="41">
        <v>54</v>
      </c>
    </row>
    <row r="112" spans="26:29">
      <c r="Z112" s="235" t="s">
        <v>810</v>
      </c>
    </row>
    <row r="113" spans="26:29">
      <c r="Z113" s="235" t="s">
        <v>217</v>
      </c>
    </row>
    <row r="114" spans="26:29">
      <c r="Z114" s="235" t="s">
        <v>172</v>
      </c>
      <c r="AB114" s="40">
        <v>270</v>
      </c>
      <c r="AC114" s="41">
        <v>52</v>
      </c>
    </row>
    <row r="115" spans="26:29">
      <c r="Z115" s="235" t="s">
        <v>167</v>
      </c>
      <c r="AB115" s="40">
        <v>252</v>
      </c>
      <c r="AC115" s="41">
        <v>48</v>
      </c>
    </row>
    <row r="116" spans="26:29">
      <c r="Z116" s="235" t="s">
        <v>210</v>
      </c>
    </row>
    <row r="117" spans="26:29">
      <c r="Z117" s="235" t="s">
        <v>91</v>
      </c>
      <c r="AA117" s="100" t="s">
        <v>35</v>
      </c>
      <c r="AB117" s="40"/>
      <c r="AC117" s="41"/>
    </row>
    <row r="118" spans="26:29">
      <c r="Z118" s="235" t="s">
        <v>225</v>
      </c>
    </row>
    <row r="119" spans="26:29">
      <c r="Z119" s="235" t="s">
        <v>154</v>
      </c>
      <c r="AA119" s="100" t="s">
        <v>43</v>
      </c>
      <c r="AB119" s="40">
        <v>206</v>
      </c>
      <c r="AC119" s="41">
        <v>35</v>
      </c>
    </row>
    <row r="120" spans="26:29">
      <c r="Z120" s="235" t="s">
        <v>156</v>
      </c>
      <c r="AB120" s="40">
        <v>214</v>
      </c>
      <c r="AC120" s="41">
        <v>39</v>
      </c>
    </row>
    <row r="121" spans="26:29">
      <c r="Z121" s="235" t="s">
        <v>206</v>
      </c>
    </row>
    <row r="122" spans="26:29">
      <c r="Z122" s="235" t="s">
        <v>187</v>
      </c>
    </row>
    <row r="123" spans="26:29">
      <c r="Z123" s="235" t="s">
        <v>83</v>
      </c>
      <c r="AA123" s="100" t="s">
        <v>29</v>
      </c>
      <c r="AB123" s="40"/>
      <c r="AC123" s="41"/>
    </row>
    <row r="124" spans="26:29">
      <c r="Z124" s="235" t="s">
        <v>254</v>
      </c>
    </row>
    <row r="125" spans="26:29">
      <c r="Z125" s="235" t="s">
        <v>248</v>
      </c>
    </row>
    <row r="126" spans="26:29">
      <c r="Z126" s="235" t="s">
        <v>94</v>
      </c>
      <c r="AA126" s="100" t="s">
        <v>42</v>
      </c>
      <c r="AB126" s="40">
        <v>127</v>
      </c>
      <c r="AC126" s="41">
        <v>17</v>
      </c>
    </row>
    <row r="127" spans="26:29">
      <c r="Z127" s="235" t="s">
        <v>198</v>
      </c>
    </row>
    <row r="128" spans="26:29">
      <c r="Z128" s="235" t="s">
        <v>128</v>
      </c>
      <c r="AA128" s="100" t="s">
        <v>326</v>
      </c>
      <c r="AB128" s="40"/>
      <c r="AC128" s="41"/>
    </row>
    <row r="129" spans="26:29">
      <c r="Z129" s="235" t="s">
        <v>147</v>
      </c>
      <c r="AA129" s="100" t="s">
        <v>58</v>
      </c>
      <c r="AB129" s="40">
        <v>186</v>
      </c>
      <c r="AC129" s="41">
        <v>30</v>
      </c>
    </row>
    <row r="130" spans="26:29">
      <c r="Z130" s="235" t="s">
        <v>898</v>
      </c>
    </row>
    <row r="131" spans="26:29">
      <c r="Z131" s="235" t="s">
        <v>240</v>
      </c>
    </row>
    <row r="132" spans="26:29">
      <c r="Z132" s="235" t="s">
        <v>203</v>
      </c>
    </row>
    <row r="133" spans="26:29">
      <c r="Z133" s="235" t="s">
        <v>159</v>
      </c>
      <c r="AB133" s="40">
        <v>230</v>
      </c>
      <c r="AC133" s="41">
        <v>42</v>
      </c>
    </row>
    <row r="134" spans="26:29">
      <c r="Z134" s="235" t="s">
        <v>119</v>
      </c>
      <c r="AA134" s="100" t="s">
        <v>15</v>
      </c>
      <c r="AB134" s="40">
        <v>53</v>
      </c>
      <c r="AC134" s="41">
        <v>3</v>
      </c>
    </row>
    <row r="135" spans="26:29">
      <c r="Z135" s="235" t="s">
        <v>232</v>
      </c>
    </row>
    <row r="136" spans="26:29">
      <c r="Z136" s="235" t="s">
        <v>188</v>
      </c>
    </row>
    <row r="137" spans="26:29">
      <c r="Z137" s="235" t="s">
        <v>929</v>
      </c>
    </row>
    <row r="138" spans="26:29">
      <c r="Z138" s="235" t="s">
        <v>931</v>
      </c>
    </row>
    <row r="139" spans="26:29">
      <c r="Z139" s="235" t="s">
        <v>244</v>
      </c>
    </row>
    <row r="140" spans="26:29">
      <c r="Z140" s="235" t="s">
        <v>103</v>
      </c>
      <c r="AA140" s="100" t="s">
        <v>53</v>
      </c>
      <c r="AB140" s="40">
        <v>168</v>
      </c>
      <c r="AC140" s="41">
        <v>26</v>
      </c>
    </row>
    <row r="141" spans="26:29">
      <c r="Z141" s="235" t="s">
        <v>808</v>
      </c>
    </row>
    <row r="142" spans="26:29">
      <c r="Z142" s="235" t="s">
        <v>109</v>
      </c>
      <c r="AB142" s="40">
        <v>306</v>
      </c>
      <c r="AC142" s="41">
        <v>60</v>
      </c>
    </row>
    <row r="143" spans="26:29">
      <c r="Z143" s="235" t="s">
        <v>242</v>
      </c>
    </row>
    <row r="144" spans="26:29">
      <c r="Z144" s="235" t="s">
        <v>920</v>
      </c>
    </row>
    <row r="145" spans="26:26">
      <c r="Z145" s="235" t="s">
        <v>191</v>
      </c>
    </row>
    <row r="146" spans="26:26">
      <c r="Z146" s="235" t="s">
        <v>797</v>
      </c>
    </row>
    <row r="147" spans="26:26">
      <c r="Z147" s="235" t="s">
        <v>792</v>
      </c>
    </row>
    <row r="148" spans="26:26">
      <c r="Z148" s="235" t="s">
        <v>795</v>
      </c>
    </row>
    <row r="149" spans="26:26">
      <c r="Z149" s="235" t="s">
        <v>807</v>
      </c>
    </row>
    <row r="150" spans="26:26">
      <c r="Z150" s="235" t="s">
        <v>801</v>
      </c>
    </row>
    <row r="151" spans="26:26">
      <c r="Z151" s="235" t="s">
        <v>800</v>
      </c>
    </row>
    <row r="152" spans="26:26">
      <c r="Z152" s="235" t="s">
        <v>805</v>
      </c>
    </row>
    <row r="153" spans="26:26">
      <c r="Z153" s="235" t="s">
        <v>791</v>
      </c>
    </row>
    <row r="154" spans="26:26">
      <c r="Z154" s="235" t="s">
        <v>783</v>
      </c>
    </row>
    <row r="155" spans="26:26">
      <c r="Z155" s="235" t="s">
        <v>787</v>
      </c>
    </row>
    <row r="156" spans="26:26">
      <c r="Z156" s="235" t="s">
        <v>786</v>
      </c>
    </row>
    <row r="157" spans="26:26">
      <c r="Z157" s="235" t="s">
        <v>785</v>
      </c>
    </row>
    <row r="158" spans="26:26">
      <c r="Z158" s="235" t="s">
        <v>806</v>
      </c>
    </row>
    <row r="159" spans="26:26">
      <c r="Z159" s="235" t="s">
        <v>812</v>
      </c>
    </row>
    <row r="160" spans="26:26">
      <c r="Z160" s="235" t="s">
        <v>804</v>
      </c>
    </row>
    <row r="161" spans="26:29">
      <c r="Z161" s="235" t="s">
        <v>802</v>
      </c>
    </row>
    <row r="162" spans="26:29">
      <c r="Z162" s="235" t="s">
        <v>790</v>
      </c>
    </row>
    <row r="163" spans="26:29">
      <c r="Z163" s="235" t="s">
        <v>789</v>
      </c>
    </row>
    <row r="164" spans="26:29">
      <c r="Z164" s="235" t="s">
        <v>799</v>
      </c>
    </row>
    <row r="165" spans="26:29">
      <c r="Z165" s="235" t="s">
        <v>793</v>
      </c>
    </row>
    <row r="166" spans="26:29">
      <c r="Z166" s="235" t="s">
        <v>784</v>
      </c>
    </row>
    <row r="167" spans="26:29">
      <c r="Z167" s="235" t="s">
        <v>788</v>
      </c>
    </row>
    <row r="168" spans="26:29">
      <c r="Z168" s="235" t="s">
        <v>796</v>
      </c>
    </row>
    <row r="169" spans="26:29">
      <c r="Z169" s="235" t="s">
        <v>794</v>
      </c>
    </row>
    <row r="170" spans="26:29">
      <c r="Z170" s="235" t="s">
        <v>803</v>
      </c>
    </row>
    <row r="171" spans="26:29">
      <c r="Z171" s="235" t="s">
        <v>798</v>
      </c>
    </row>
    <row r="172" spans="26:29">
      <c r="Z172" s="235" t="s">
        <v>223</v>
      </c>
    </row>
    <row r="173" spans="26:29">
      <c r="Z173" s="235" t="s">
        <v>208</v>
      </c>
    </row>
    <row r="174" spans="26:29">
      <c r="Z174" s="235" t="s">
        <v>178</v>
      </c>
      <c r="AB174" s="40">
        <v>286</v>
      </c>
      <c r="AC174" s="41">
        <v>55</v>
      </c>
    </row>
    <row r="175" spans="26:29">
      <c r="Z175" s="235" t="s">
        <v>108</v>
      </c>
      <c r="AA175" s="100" t="s">
        <v>62</v>
      </c>
      <c r="AB175" s="40">
        <v>210</v>
      </c>
      <c r="AC175" s="41">
        <v>37</v>
      </c>
    </row>
    <row r="176" spans="26:29">
      <c r="Z176" s="235" t="s">
        <v>221</v>
      </c>
    </row>
    <row r="177" spans="26:29">
      <c r="Z177" s="235" t="s">
        <v>151</v>
      </c>
      <c r="AA177" s="100" t="s">
        <v>61</v>
      </c>
      <c r="AB177" s="40">
        <v>190</v>
      </c>
      <c r="AC177" s="41">
        <v>32</v>
      </c>
    </row>
    <row r="178" spans="26:29">
      <c r="Z178" s="235" t="s">
        <v>168</v>
      </c>
      <c r="AB178" s="40">
        <v>254</v>
      </c>
      <c r="AC178" s="41">
        <v>49</v>
      </c>
    </row>
    <row r="179" spans="26:29">
      <c r="Z179" s="235" t="s">
        <v>196</v>
      </c>
    </row>
    <row r="180" spans="26:29">
      <c r="Z180" s="235" t="s">
        <v>193</v>
      </c>
    </row>
    <row r="181" spans="26:29">
      <c r="Z181" s="235" t="s">
        <v>185</v>
      </c>
    </row>
    <row r="182" spans="26:29">
      <c r="Z182" s="235" t="s">
        <v>98</v>
      </c>
      <c r="AA182" s="100" t="s">
        <v>47</v>
      </c>
      <c r="AB182" s="40">
        <v>148</v>
      </c>
      <c r="AC182" s="41">
        <v>21</v>
      </c>
    </row>
    <row r="183" spans="26:29">
      <c r="Z183" s="235" t="s">
        <v>902</v>
      </c>
    </row>
    <row r="184" spans="26:29">
      <c r="Z184" s="235" t="s">
        <v>75</v>
      </c>
      <c r="AA184" s="100" t="s">
        <v>34</v>
      </c>
      <c r="AB184" s="40"/>
      <c r="AC184" s="41"/>
    </row>
    <row r="185" spans="26:29">
      <c r="Z185" s="235" t="s">
        <v>161</v>
      </c>
      <c r="AB185" s="40">
        <v>232</v>
      </c>
      <c r="AC185" s="41">
        <v>43</v>
      </c>
    </row>
    <row r="186" spans="26:29">
      <c r="Z186" s="235" t="s">
        <v>129</v>
      </c>
      <c r="AA186" s="100" t="s">
        <v>30</v>
      </c>
      <c r="AB186" s="40"/>
      <c r="AC186" s="41"/>
    </row>
    <row r="187" spans="26:29">
      <c r="Z187" s="235" t="s">
        <v>182</v>
      </c>
      <c r="AB187" s="40">
        <v>294</v>
      </c>
      <c r="AC187" s="41">
        <v>59</v>
      </c>
    </row>
    <row r="188" spans="26:29">
      <c r="Z188" s="235" t="s">
        <v>252</v>
      </c>
    </row>
    <row r="189" spans="26:29">
      <c r="Z189" s="235" t="s">
        <v>170</v>
      </c>
      <c r="AB189" s="40">
        <v>268</v>
      </c>
      <c r="AC189" s="41">
        <v>51</v>
      </c>
    </row>
    <row r="190" spans="26:29">
      <c r="Z190" s="235" t="s">
        <v>130</v>
      </c>
      <c r="AA190" s="100" t="s">
        <v>31</v>
      </c>
      <c r="AB190" s="40"/>
      <c r="AC190" s="41"/>
    </row>
    <row r="191" spans="26:29">
      <c r="Z191" s="235" t="s">
        <v>253</v>
      </c>
    </row>
    <row r="192" spans="26:29">
      <c r="Z192" s="235" t="s">
        <v>908</v>
      </c>
    </row>
    <row r="193" spans="26:29">
      <c r="Z193" s="235" t="s">
        <v>135</v>
      </c>
      <c r="AA193" s="100" t="s">
        <v>37</v>
      </c>
      <c r="AB193" s="40">
        <v>105</v>
      </c>
      <c r="AC193" s="41">
        <v>13</v>
      </c>
    </row>
    <row r="194" spans="26:29">
      <c r="Z194" s="235" t="s">
        <v>246</v>
      </c>
    </row>
    <row r="195" spans="26:29">
      <c r="Z195" s="235" t="s">
        <v>143</v>
      </c>
      <c r="AA195" s="100" t="s">
        <v>56</v>
      </c>
      <c r="AB195" s="40">
        <v>172</v>
      </c>
      <c r="AC195" s="41">
        <v>28</v>
      </c>
    </row>
    <row r="196" spans="26:29">
      <c r="Z196" s="235" t="s">
        <v>249</v>
      </c>
    </row>
  </sheetData>
  <sortState ref="Z2:AC196">
    <sortCondition ref="Z2"/>
  </sortState>
  <mergeCells count="6">
    <mergeCell ref="D26:E27"/>
    <mergeCell ref="D30:E31"/>
    <mergeCell ref="I27:Q27"/>
    <mergeCell ref="I28:Q28"/>
    <mergeCell ref="I29:Q29"/>
    <mergeCell ref="I30:Q30"/>
  </mergeCells>
  <phoneticPr fontId="3"/>
  <conditionalFormatting sqref="H10:H11 H19:H23 H8 H4:H6">
    <cfRule type="expression" dxfId="451" priority="304">
      <formula>$H4="E"</formula>
    </cfRule>
    <cfRule type="expression" dxfId="450" priority="305">
      <formula>$H4="F"</formula>
    </cfRule>
  </conditionalFormatting>
  <conditionalFormatting sqref="H4 H19:H23">
    <cfRule type="expression" dxfId="449" priority="294">
      <formula>$H4="S"</formula>
    </cfRule>
    <cfRule type="expression" dxfId="448" priority="295">
      <formula>$H4="A"</formula>
    </cfRule>
    <cfRule type="expression" dxfId="447" priority="301">
      <formula>$H4="B"</formula>
    </cfRule>
    <cfRule type="expression" dxfId="446" priority="302">
      <formula>$H4="C"</formula>
    </cfRule>
    <cfRule type="expression" dxfId="445" priority="303">
      <formula>$H4="D"</formula>
    </cfRule>
  </conditionalFormatting>
  <conditionalFormatting sqref="H10:H11 H8 H5:H6">
    <cfRule type="expression" dxfId="444" priority="289">
      <formula>$H5="S"</formula>
    </cfRule>
    <cfRule type="expression" dxfId="443" priority="290">
      <formula>$H5="A"</formula>
    </cfRule>
    <cfRule type="expression" dxfId="442" priority="291">
      <formula>$H5="B"</formula>
    </cfRule>
    <cfRule type="expression" dxfId="441" priority="292">
      <formula>$H5="C"</formula>
    </cfRule>
    <cfRule type="expression" dxfId="440" priority="293">
      <formula>$H5="D"</formula>
    </cfRule>
  </conditionalFormatting>
  <conditionalFormatting sqref="E4:E6 E10:E11 E18:E24 E8">
    <cfRule type="expression" dxfId="439" priority="279">
      <formula>$E4="遠隔"</formula>
    </cfRule>
    <cfRule type="expression" dxfId="438" priority="280">
      <formula>$E4="空中"</formula>
    </cfRule>
    <cfRule type="expression" dxfId="437" priority="281">
      <formula>$E4="地上"</formula>
    </cfRule>
  </conditionalFormatting>
  <conditionalFormatting sqref="D4">
    <cfRule type="expression" dxfId="436" priority="316">
      <formula>$D4="B"</formula>
    </cfRule>
    <cfRule type="expression" dxfId="435" priority="317">
      <formula>$D4="C"</formula>
    </cfRule>
    <cfRule type="expression" dxfId="434" priority="318">
      <formula>$D4="D"</formula>
    </cfRule>
    <cfRule type="expression" dxfId="433" priority="319">
      <formula>$D4="E"</formula>
    </cfRule>
    <cfRule type="expression" dxfId="432" priority="320">
      <formula>$D4="F"</formula>
    </cfRule>
  </conditionalFormatting>
  <conditionalFormatting sqref="D5">
    <cfRule type="expression" dxfId="431" priority="271">
      <formula>$D5="B"</formula>
    </cfRule>
    <cfRule type="expression" dxfId="430" priority="272">
      <formula>$D5="C"</formula>
    </cfRule>
    <cfRule type="expression" dxfId="429" priority="273">
      <formula>$D5="D"</formula>
    </cfRule>
    <cfRule type="expression" dxfId="428" priority="274">
      <formula>$D5="E"</formula>
    </cfRule>
    <cfRule type="expression" dxfId="427" priority="275">
      <formula>$D5="F"</formula>
    </cfRule>
  </conditionalFormatting>
  <conditionalFormatting sqref="D6">
    <cfRule type="expression" dxfId="426" priority="266">
      <formula>$D6="B"</formula>
    </cfRule>
    <cfRule type="expression" dxfId="425" priority="267">
      <formula>$D6="C"</formula>
    </cfRule>
    <cfRule type="expression" dxfId="424" priority="268">
      <formula>$D6="D"</formula>
    </cfRule>
    <cfRule type="expression" dxfId="423" priority="269">
      <formula>$D6="E"</formula>
    </cfRule>
    <cfRule type="expression" dxfId="422" priority="270">
      <formula>$D6="F"</formula>
    </cfRule>
  </conditionalFormatting>
  <conditionalFormatting sqref="D8">
    <cfRule type="expression" dxfId="421" priority="256">
      <formula>$D8="B"</formula>
    </cfRule>
    <cfRule type="expression" dxfId="420" priority="257">
      <formula>$D8="C"</formula>
    </cfRule>
    <cfRule type="expression" dxfId="419" priority="258">
      <formula>$D8="D"</formula>
    </cfRule>
    <cfRule type="expression" dxfId="418" priority="259">
      <formula>$D8="E"</formula>
    </cfRule>
    <cfRule type="expression" dxfId="417" priority="260">
      <formula>$D8="F"</formula>
    </cfRule>
  </conditionalFormatting>
  <conditionalFormatting sqref="D10">
    <cfRule type="expression" dxfId="416" priority="246">
      <formula>$D10="B"</formula>
    </cfRule>
    <cfRule type="expression" dxfId="415" priority="247">
      <formula>$D10="C"</formula>
    </cfRule>
    <cfRule type="expression" dxfId="414" priority="248">
      <formula>$D10="D"</formula>
    </cfRule>
    <cfRule type="expression" dxfId="413" priority="249">
      <formula>$D10="E"</formula>
    </cfRule>
    <cfRule type="expression" dxfId="412" priority="250">
      <formula>$D10="F"</formula>
    </cfRule>
  </conditionalFormatting>
  <conditionalFormatting sqref="D11">
    <cfRule type="expression" dxfId="411" priority="241">
      <formula>$D11="B"</formula>
    </cfRule>
    <cfRule type="expression" dxfId="410" priority="242">
      <formula>$D11="C"</formula>
    </cfRule>
    <cfRule type="expression" dxfId="409" priority="243">
      <formula>$D11="D"</formula>
    </cfRule>
    <cfRule type="expression" dxfId="408" priority="244">
      <formula>$D11="E"</formula>
    </cfRule>
    <cfRule type="expression" dxfId="407" priority="245">
      <formula>$D11="F"</formula>
    </cfRule>
  </conditionalFormatting>
  <conditionalFormatting sqref="D18:D24">
    <cfRule type="expression" dxfId="406" priority="221">
      <formula>$D18="B"</formula>
    </cfRule>
    <cfRule type="expression" dxfId="405" priority="222">
      <formula>$D18="C"</formula>
    </cfRule>
    <cfRule type="expression" dxfId="404" priority="223">
      <formula>$D18="D"</formula>
    </cfRule>
    <cfRule type="expression" dxfId="403" priority="224">
      <formula>$D18="E"</formula>
    </cfRule>
    <cfRule type="expression" dxfId="402" priority="225">
      <formula>$D18="F"</formula>
    </cfRule>
  </conditionalFormatting>
  <conditionalFormatting sqref="H5">
    <cfRule type="expression" dxfId="401" priority="211">
      <formula>$H5="S"</formula>
    </cfRule>
    <cfRule type="expression" dxfId="400" priority="212">
      <formula>$H5="A"</formula>
    </cfRule>
    <cfRule type="expression" dxfId="399" priority="213">
      <formula>$H5="B"</formula>
    </cfRule>
    <cfRule type="expression" dxfId="398" priority="214">
      <formula>$H5="C"</formula>
    </cfRule>
    <cfRule type="expression" dxfId="397" priority="215">
      <formula>$H5="D"</formula>
    </cfRule>
  </conditionalFormatting>
  <conditionalFormatting sqref="H6">
    <cfRule type="expression" dxfId="396" priority="206">
      <formula>$H6="S"</formula>
    </cfRule>
    <cfRule type="expression" dxfId="395" priority="207">
      <formula>$H6="A"</formula>
    </cfRule>
    <cfRule type="expression" dxfId="394" priority="208">
      <formula>$H6="B"</formula>
    </cfRule>
    <cfRule type="expression" dxfId="393" priority="209">
      <formula>$H6="C"</formula>
    </cfRule>
    <cfRule type="expression" dxfId="392" priority="210">
      <formula>$H6="D"</formula>
    </cfRule>
  </conditionalFormatting>
  <conditionalFormatting sqref="H8">
    <cfRule type="expression" dxfId="391" priority="196">
      <formula>$H8="S"</formula>
    </cfRule>
    <cfRule type="expression" dxfId="390" priority="197">
      <formula>$H8="A"</formula>
    </cfRule>
    <cfRule type="expression" dxfId="389" priority="198">
      <formula>$H8="B"</formula>
    </cfRule>
    <cfRule type="expression" dxfId="388" priority="199">
      <formula>$H8="C"</formula>
    </cfRule>
    <cfRule type="expression" dxfId="387" priority="200">
      <formula>$H8="D"</formula>
    </cfRule>
  </conditionalFormatting>
  <conditionalFormatting sqref="H10">
    <cfRule type="expression" dxfId="386" priority="186">
      <formula>$H10="S"</formula>
    </cfRule>
    <cfRule type="expression" dxfId="385" priority="187">
      <formula>$H10="A"</formula>
    </cfRule>
    <cfRule type="expression" dxfId="384" priority="188">
      <formula>$H10="B"</formula>
    </cfRule>
    <cfRule type="expression" dxfId="383" priority="189">
      <formula>$H10="C"</formula>
    </cfRule>
    <cfRule type="expression" dxfId="382" priority="190">
      <formula>$H10="D"</formula>
    </cfRule>
  </conditionalFormatting>
  <conditionalFormatting sqref="H11">
    <cfRule type="expression" dxfId="381" priority="181">
      <formula>$H11="S"</formula>
    </cfRule>
    <cfRule type="expression" dxfId="380" priority="182">
      <formula>$H11="A"</formula>
    </cfRule>
    <cfRule type="expression" dxfId="379" priority="183">
      <formula>$H11="B"</formula>
    </cfRule>
    <cfRule type="expression" dxfId="378" priority="184">
      <formula>$H11="C"</formula>
    </cfRule>
    <cfRule type="expression" dxfId="377" priority="185">
      <formula>$H11="D"</formula>
    </cfRule>
  </conditionalFormatting>
  <conditionalFormatting sqref="H18">
    <cfRule type="expression" dxfId="376" priority="158">
      <formula>$H18="E"</formula>
    </cfRule>
    <cfRule type="expression" dxfId="375" priority="159">
      <formula>$H18="F"</formula>
    </cfRule>
  </conditionalFormatting>
  <conditionalFormatting sqref="H18">
    <cfRule type="expression" dxfId="374" priority="153">
      <formula>$H18="S"</formula>
    </cfRule>
    <cfRule type="expression" dxfId="373" priority="154">
      <formula>$H18="A"</formula>
    </cfRule>
    <cfRule type="expression" dxfId="372" priority="155">
      <formula>$H18="B"</formula>
    </cfRule>
    <cfRule type="expression" dxfId="371" priority="156">
      <formula>$H18="C"</formula>
    </cfRule>
    <cfRule type="expression" dxfId="370" priority="157">
      <formula>$H18="D"</formula>
    </cfRule>
  </conditionalFormatting>
  <conditionalFormatting sqref="H24">
    <cfRule type="expression" dxfId="369" priority="151">
      <formula>$H24="E"</formula>
    </cfRule>
    <cfRule type="expression" dxfId="368" priority="152">
      <formula>$H24="F"</formula>
    </cfRule>
  </conditionalFormatting>
  <conditionalFormatting sqref="H24">
    <cfRule type="expression" dxfId="367" priority="146">
      <formula>$H24="S"</formula>
    </cfRule>
    <cfRule type="expression" dxfId="366" priority="147">
      <formula>$H24="A"</formula>
    </cfRule>
    <cfRule type="expression" dxfId="365" priority="148">
      <formula>$H24="B"</formula>
    </cfRule>
    <cfRule type="expression" dxfId="364" priority="149">
      <formula>$H24="C"</formula>
    </cfRule>
    <cfRule type="expression" dxfId="363" priority="150">
      <formula>$H24="D"</formula>
    </cfRule>
  </conditionalFormatting>
  <conditionalFormatting sqref="H17">
    <cfRule type="expression" dxfId="362" priority="124">
      <formula>$H17="E"</formula>
    </cfRule>
    <cfRule type="expression" dxfId="361" priority="125">
      <formula>$H17="F"</formula>
    </cfRule>
  </conditionalFormatting>
  <conditionalFormatting sqref="H17">
    <cfRule type="expression" dxfId="360" priority="119">
      <formula>$H17="S"</formula>
    </cfRule>
    <cfRule type="expression" dxfId="359" priority="120">
      <formula>$H17="A"</formula>
    </cfRule>
    <cfRule type="expression" dxfId="358" priority="121">
      <formula>$H17="B"</formula>
    </cfRule>
    <cfRule type="expression" dxfId="357" priority="122">
      <formula>$H17="C"</formula>
    </cfRule>
    <cfRule type="expression" dxfId="356" priority="123">
      <formula>$H17="D"</formula>
    </cfRule>
  </conditionalFormatting>
  <conditionalFormatting sqref="E17">
    <cfRule type="expression" dxfId="355" priority="116">
      <formula>$E17="遠隔"</formula>
    </cfRule>
    <cfRule type="expression" dxfId="354" priority="117">
      <formula>$E17="空中"</formula>
    </cfRule>
    <cfRule type="expression" dxfId="353" priority="118">
      <formula>$E17="地上"</formula>
    </cfRule>
  </conditionalFormatting>
  <conditionalFormatting sqref="D17">
    <cfRule type="expression" dxfId="352" priority="111">
      <formula>$D17="B"</formula>
    </cfRule>
    <cfRule type="expression" dxfId="351" priority="112">
      <formula>$D17="C"</formula>
    </cfRule>
    <cfRule type="expression" dxfId="350" priority="113">
      <formula>$D17="D"</formula>
    </cfRule>
    <cfRule type="expression" dxfId="349" priority="114">
      <formula>$D17="E"</formula>
    </cfRule>
    <cfRule type="expression" dxfId="348" priority="115">
      <formula>$D17="F"</formula>
    </cfRule>
  </conditionalFormatting>
  <conditionalFormatting sqref="H17">
    <cfRule type="expression" dxfId="347" priority="106">
      <formula>$H17="S"</formula>
    </cfRule>
    <cfRule type="expression" dxfId="346" priority="107">
      <formula>$H17="A"</formula>
    </cfRule>
    <cfRule type="expression" dxfId="345" priority="108">
      <formula>$H17="B"</formula>
    </cfRule>
    <cfRule type="expression" dxfId="344" priority="109">
      <formula>$H17="C"</formula>
    </cfRule>
    <cfRule type="expression" dxfId="343" priority="110">
      <formula>$H17="D"</formula>
    </cfRule>
  </conditionalFormatting>
  <conditionalFormatting sqref="H9">
    <cfRule type="expression" dxfId="342" priority="104">
      <formula>$H9="E"</formula>
    </cfRule>
    <cfRule type="expression" dxfId="341" priority="105">
      <formula>$H9="F"</formula>
    </cfRule>
  </conditionalFormatting>
  <conditionalFormatting sqref="H9">
    <cfRule type="expression" dxfId="340" priority="99">
      <formula>$H9="S"</formula>
    </cfRule>
    <cfRule type="expression" dxfId="339" priority="100">
      <formula>$H9="A"</formula>
    </cfRule>
    <cfRule type="expression" dxfId="338" priority="101">
      <formula>$H9="B"</formula>
    </cfRule>
    <cfRule type="expression" dxfId="337" priority="102">
      <formula>$H9="C"</formula>
    </cfRule>
    <cfRule type="expression" dxfId="336" priority="103">
      <formula>$H9="D"</formula>
    </cfRule>
  </conditionalFormatting>
  <conditionalFormatting sqref="E9">
    <cfRule type="expression" dxfId="335" priority="96">
      <formula>$E9="遠隔"</formula>
    </cfRule>
    <cfRule type="expression" dxfId="334" priority="97">
      <formula>$E9="空中"</formula>
    </cfRule>
    <cfRule type="expression" dxfId="333" priority="98">
      <formula>$E9="地上"</formula>
    </cfRule>
  </conditionalFormatting>
  <conditionalFormatting sqref="D9">
    <cfRule type="expression" dxfId="332" priority="91">
      <formula>$D9="B"</formula>
    </cfRule>
    <cfRule type="expression" dxfId="331" priority="92">
      <formula>$D9="C"</formula>
    </cfRule>
    <cfRule type="expression" dxfId="330" priority="93">
      <formula>$D9="D"</formula>
    </cfRule>
    <cfRule type="expression" dxfId="329" priority="94">
      <formula>$D9="E"</formula>
    </cfRule>
    <cfRule type="expression" dxfId="328" priority="95">
      <formula>$D9="F"</formula>
    </cfRule>
  </conditionalFormatting>
  <conditionalFormatting sqref="H9">
    <cfRule type="expression" dxfId="327" priority="86">
      <formula>$H9="S"</formula>
    </cfRule>
    <cfRule type="expression" dxfId="326" priority="87">
      <formula>$H9="A"</formula>
    </cfRule>
    <cfRule type="expression" dxfId="325" priority="88">
      <formula>$H9="B"</formula>
    </cfRule>
    <cfRule type="expression" dxfId="324" priority="89">
      <formula>$H9="C"</formula>
    </cfRule>
    <cfRule type="expression" dxfId="323" priority="90">
      <formula>$H9="D"</formula>
    </cfRule>
  </conditionalFormatting>
  <conditionalFormatting sqref="H16">
    <cfRule type="expression" dxfId="322" priority="84">
      <formula>$H16="E"</formula>
    </cfRule>
    <cfRule type="expression" dxfId="321" priority="85">
      <formula>$H16="F"</formula>
    </cfRule>
  </conditionalFormatting>
  <conditionalFormatting sqref="H16">
    <cfRule type="expression" dxfId="320" priority="79">
      <formula>$H16="S"</formula>
    </cfRule>
    <cfRule type="expression" dxfId="319" priority="80">
      <formula>$H16="A"</formula>
    </cfRule>
    <cfRule type="expression" dxfId="318" priority="81">
      <formula>$H16="B"</formula>
    </cfRule>
    <cfRule type="expression" dxfId="317" priority="82">
      <formula>$H16="C"</formula>
    </cfRule>
    <cfRule type="expression" dxfId="316" priority="83">
      <formula>$H16="D"</formula>
    </cfRule>
  </conditionalFormatting>
  <conditionalFormatting sqref="E16">
    <cfRule type="expression" dxfId="315" priority="76">
      <formula>$E16="遠隔"</formula>
    </cfRule>
    <cfRule type="expression" dxfId="314" priority="77">
      <formula>$E16="空中"</formula>
    </cfRule>
    <cfRule type="expression" dxfId="313" priority="78">
      <formula>$E16="地上"</formula>
    </cfRule>
  </conditionalFormatting>
  <conditionalFormatting sqref="D16">
    <cfRule type="expression" dxfId="312" priority="71">
      <formula>$D16="B"</formula>
    </cfRule>
    <cfRule type="expression" dxfId="311" priority="72">
      <formula>$D16="C"</formula>
    </cfRule>
    <cfRule type="expression" dxfId="310" priority="73">
      <formula>$D16="D"</formula>
    </cfRule>
    <cfRule type="expression" dxfId="309" priority="74">
      <formula>$D16="E"</formula>
    </cfRule>
    <cfRule type="expression" dxfId="308" priority="75">
      <formula>$D16="F"</formula>
    </cfRule>
  </conditionalFormatting>
  <conditionalFormatting sqref="H16">
    <cfRule type="expression" dxfId="307" priority="66">
      <formula>$H16="S"</formula>
    </cfRule>
    <cfRule type="expression" dxfId="306" priority="67">
      <formula>$H16="A"</formula>
    </cfRule>
    <cfRule type="expression" dxfId="305" priority="68">
      <formula>$H16="B"</formula>
    </cfRule>
    <cfRule type="expression" dxfId="304" priority="69">
      <formula>$H16="C"</formula>
    </cfRule>
    <cfRule type="expression" dxfId="303" priority="70">
      <formula>$H16="D"</formula>
    </cfRule>
  </conditionalFormatting>
  <conditionalFormatting sqref="H7">
    <cfRule type="expression" dxfId="302" priority="44">
      <formula>$H7="E"</formula>
    </cfRule>
    <cfRule type="expression" dxfId="301" priority="45">
      <formula>$H7="F"</formula>
    </cfRule>
  </conditionalFormatting>
  <conditionalFormatting sqref="H7">
    <cfRule type="expression" dxfId="300" priority="39">
      <formula>$H7="S"</formula>
    </cfRule>
    <cfRule type="expression" dxfId="299" priority="40">
      <formula>$H7="A"</formula>
    </cfRule>
    <cfRule type="expression" dxfId="298" priority="41">
      <formula>$H7="B"</formula>
    </cfRule>
    <cfRule type="expression" dxfId="297" priority="42">
      <formula>$H7="C"</formula>
    </cfRule>
    <cfRule type="expression" dxfId="296" priority="43">
      <formula>$H7="D"</formula>
    </cfRule>
  </conditionalFormatting>
  <conditionalFormatting sqref="E7">
    <cfRule type="expression" dxfId="295" priority="36">
      <formula>$E7="遠隔"</formula>
    </cfRule>
    <cfRule type="expression" dxfId="294" priority="37">
      <formula>$E7="空中"</formula>
    </cfRule>
    <cfRule type="expression" dxfId="293" priority="38">
      <formula>$E7="地上"</formula>
    </cfRule>
  </conditionalFormatting>
  <conditionalFormatting sqref="D7">
    <cfRule type="expression" dxfId="292" priority="31">
      <formula>$D7="B"</formula>
    </cfRule>
    <cfRule type="expression" dxfId="291" priority="32">
      <formula>$D7="C"</formula>
    </cfRule>
    <cfRule type="expression" dxfId="290" priority="33">
      <formula>$D7="D"</formula>
    </cfRule>
    <cfRule type="expression" dxfId="289" priority="34">
      <formula>$D7="E"</formula>
    </cfRule>
    <cfRule type="expression" dxfId="288" priority="35">
      <formula>$D7="F"</formula>
    </cfRule>
  </conditionalFormatting>
  <conditionalFormatting sqref="H7">
    <cfRule type="expression" dxfId="287" priority="26">
      <formula>$H7="S"</formula>
    </cfRule>
    <cfRule type="expression" dxfId="286" priority="27">
      <formula>$H7="A"</formula>
    </cfRule>
    <cfRule type="expression" dxfId="285" priority="28">
      <formula>$H7="B"</formula>
    </cfRule>
    <cfRule type="expression" dxfId="284" priority="29">
      <formula>$H7="C"</formula>
    </cfRule>
    <cfRule type="expression" dxfId="283" priority="30">
      <formula>$H7="D"</formula>
    </cfRule>
  </conditionalFormatting>
  <conditionalFormatting sqref="H15">
    <cfRule type="expression" dxfId="282" priority="24">
      <formula>$H15="E"</formula>
    </cfRule>
    <cfRule type="expression" dxfId="281" priority="25">
      <formula>$H15="F"</formula>
    </cfRule>
  </conditionalFormatting>
  <conditionalFormatting sqref="H15">
    <cfRule type="expression" dxfId="280" priority="19">
      <formula>$H15="S"</formula>
    </cfRule>
    <cfRule type="expression" dxfId="279" priority="20">
      <formula>$H15="A"</formula>
    </cfRule>
    <cfRule type="expression" dxfId="278" priority="21">
      <formula>$H15="B"</formula>
    </cfRule>
    <cfRule type="expression" dxfId="277" priority="22">
      <formula>$H15="C"</formula>
    </cfRule>
    <cfRule type="expression" dxfId="276" priority="23">
      <formula>$H15="D"</formula>
    </cfRule>
  </conditionalFormatting>
  <conditionalFormatting sqref="E15">
    <cfRule type="expression" dxfId="275" priority="16">
      <formula>$E15="遠隔"</formula>
    </cfRule>
    <cfRule type="expression" dxfId="274" priority="17">
      <formula>$E15="空中"</formula>
    </cfRule>
    <cfRule type="expression" dxfId="273" priority="18">
      <formula>$E15="地上"</formula>
    </cfRule>
  </conditionalFormatting>
  <conditionalFormatting sqref="D15">
    <cfRule type="expression" dxfId="272" priority="11">
      <formula>$D15="B"</formula>
    </cfRule>
    <cfRule type="expression" dxfId="271" priority="12">
      <formula>$D15="C"</formula>
    </cfRule>
    <cfRule type="expression" dxfId="270" priority="13">
      <formula>$D15="D"</formula>
    </cfRule>
    <cfRule type="expression" dxfId="269" priority="14">
      <formula>$D15="E"</formula>
    </cfRule>
    <cfRule type="expression" dxfId="268" priority="15">
      <formula>$D15="F"</formula>
    </cfRule>
  </conditionalFormatting>
  <conditionalFormatting sqref="H15">
    <cfRule type="expression" dxfId="267" priority="6">
      <formula>$H15="S"</formula>
    </cfRule>
    <cfRule type="expression" dxfId="266" priority="7">
      <formula>$H15="A"</formula>
    </cfRule>
    <cfRule type="expression" dxfId="265" priority="8">
      <formula>$H15="B"</formula>
    </cfRule>
    <cfRule type="expression" dxfId="264" priority="9">
      <formula>$H15="C"</formula>
    </cfRule>
    <cfRule type="expression" dxfId="263" priority="10">
      <formula>$H15="D"</formula>
    </cfRule>
  </conditionalFormatting>
  <conditionalFormatting sqref="H6">
    <cfRule type="expression" dxfId="262" priority="1">
      <formula>$H6="S"</formula>
    </cfRule>
    <cfRule type="expression" dxfId="261" priority="2">
      <formula>$H6="A"</formula>
    </cfRule>
    <cfRule type="expression" dxfId="260" priority="3">
      <formula>$H6="B"</formula>
    </cfRule>
    <cfRule type="expression" dxfId="259" priority="4">
      <formula>$H6="C"</formula>
    </cfRule>
    <cfRule type="expression" dxfId="258" priority="5">
      <formula>$H6="D"</formula>
    </cfRule>
  </conditionalFormatting>
  <dataValidations count="4">
    <dataValidation type="list" allowBlank="1" showInputMessage="1" showErrorMessage="1" sqref="I4:I11 I15:I24">
      <formula1>$AA$2:$AA$46</formula1>
    </dataValidation>
    <dataValidation type="list" allowBlank="1" showInputMessage="1" showErrorMessage="1" sqref="J4:J11 J15:J24">
      <formula1>"壁,アタッカー(物理),アタッカー(魔法),補助,回復"</formula1>
    </dataValidation>
    <dataValidation type="list" allowBlank="1" showInputMessage="1" showErrorMessage="1" sqref="H15:H24 H4:H11">
      <formula1>"F,E,D,C,B,A,S"</formula1>
    </dataValidation>
    <dataValidation type="list" allowBlank="1" showInputMessage="1" showErrorMessage="1" sqref="C4:C11 C15:C24">
      <formula1>$Z$2:$Z$250</formula1>
    </dataValidation>
  </dataValidations>
  <pageMargins left="0.75" right="0.75" top="1" bottom="1" header="0.51200000000000001" footer="0.51200000000000001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BE178"/>
  <sheetViews>
    <sheetView showGridLines="0" zoomScale="85" zoomScaleNormal="85" workbookViewId="0"/>
  </sheetViews>
  <sheetFormatPr defaultRowHeight="13.5" outlineLevelCol="1"/>
  <cols>
    <col min="1" max="1" width="1.375" customWidth="1"/>
    <col min="2" max="2" width="3.125" customWidth="1"/>
    <col min="3" max="3" width="17.375" bestFit="1" customWidth="1"/>
    <col min="4" max="4" width="13.25" customWidth="1"/>
    <col min="6" max="6" width="5.375" customWidth="1"/>
    <col min="7" max="12" width="4.625" customWidth="1"/>
    <col min="13" max="13" width="1.625" customWidth="1"/>
    <col min="14" max="19" width="4.625" style="111" customWidth="1" outlineLevel="1"/>
    <col min="20" max="20" width="1.625" customWidth="1"/>
    <col min="21" max="26" width="4.625" style="111" customWidth="1" outlineLevel="1"/>
    <col min="27" max="27" width="1.625" customWidth="1"/>
    <col min="28" max="33" width="4.625" style="111" customWidth="1" outlineLevel="1"/>
    <col min="34" max="34" width="1.625" customWidth="1"/>
    <col min="35" max="40" width="4.625" style="111" customWidth="1" outlineLevel="1"/>
    <col min="41" max="41" width="1.625" customWidth="1"/>
    <col min="42" max="47" width="4.625" style="111" customWidth="1" outlineLevel="1"/>
    <col min="48" max="48" width="1.625" customWidth="1"/>
    <col min="49" max="54" width="4.625" style="111" customWidth="1" outlineLevel="1"/>
    <col min="55" max="55" width="1.625" customWidth="1"/>
    <col min="56" max="56" width="14.25" style="301" customWidth="1"/>
    <col min="57" max="57" width="9" style="100"/>
  </cols>
  <sheetData>
    <row r="1" spans="1:57" ht="18.75">
      <c r="A1" s="26" t="s">
        <v>756</v>
      </c>
      <c r="BD1" s="301" t="s">
        <v>235</v>
      </c>
    </row>
    <row r="2" spans="1:57">
      <c r="BD2" s="301" t="s">
        <v>164</v>
      </c>
    </row>
    <row r="3" spans="1:57">
      <c r="B3" t="s">
        <v>764</v>
      </c>
      <c r="BD3" s="301" t="s">
        <v>201</v>
      </c>
    </row>
    <row r="4" spans="1:57" ht="14.25" thickBot="1">
      <c r="BD4" s="301" t="s">
        <v>155</v>
      </c>
    </row>
    <row r="5" spans="1:57" ht="14.25" thickBot="1">
      <c r="E5" s="268" t="s">
        <v>757</v>
      </c>
      <c r="F5" s="269"/>
      <c r="G5" s="269"/>
      <c r="H5" s="269"/>
      <c r="I5" s="269"/>
      <c r="J5" s="269"/>
      <c r="K5" s="269"/>
      <c r="L5" s="270"/>
      <c r="N5" s="283" t="s">
        <v>760</v>
      </c>
      <c r="O5" s="284"/>
      <c r="P5" s="284"/>
      <c r="Q5" s="284"/>
      <c r="R5" s="284"/>
      <c r="S5" s="285"/>
      <c r="U5" s="271" t="s">
        <v>758</v>
      </c>
      <c r="V5" s="272"/>
      <c r="W5" s="272"/>
      <c r="X5" s="272"/>
      <c r="Y5" s="272"/>
      <c r="Z5" s="273"/>
      <c r="AB5" s="274" t="s">
        <v>759</v>
      </c>
      <c r="AC5" s="275"/>
      <c r="AD5" s="275"/>
      <c r="AE5" s="275"/>
      <c r="AF5" s="275"/>
      <c r="AG5" s="276"/>
      <c r="AI5" s="277" t="s">
        <v>761</v>
      </c>
      <c r="AJ5" s="278"/>
      <c r="AK5" s="278"/>
      <c r="AL5" s="278"/>
      <c r="AM5" s="278"/>
      <c r="AN5" s="279"/>
      <c r="AP5" s="280" t="s">
        <v>762</v>
      </c>
      <c r="AQ5" s="281"/>
      <c r="AR5" s="281"/>
      <c r="AS5" s="281"/>
      <c r="AT5" s="281"/>
      <c r="AU5" s="282"/>
      <c r="AW5" s="265" t="s">
        <v>763</v>
      </c>
      <c r="AX5" s="266"/>
      <c r="AY5" s="266"/>
      <c r="AZ5" s="266"/>
      <c r="BA5" s="266"/>
      <c r="BB5" s="267"/>
      <c r="BD5" s="301" t="s">
        <v>133</v>
      </c>
      <c r="BE5" s="100" t="s">
        <v>55</v>
      </c>
    </row>
    <row r="6" spans="1:57">
      <c r="B6" s="76" t="s">
        <v>341</v>
      </c>
      <c r="C6" s="37" t="s">
        <v>74</v>
      </c>
      <c r="D6" s="42" t="s">
        <v>752</v>
      </c>
      <c r="E6" s="110" t="s">
        <v>308</v>
      </c>
      <c r="F6" s="110" t="s">
        <v>750</v>
      </c>
      <c r="G6" s="110" t="s">
        <v>6</v>
      </c>
      <c r="H6" s="110" t="s">
        <v>7</v>
      </c>
      <c r="I6" s="110" t="s">
        <v>8</v>
      </c>
      <c r="J6" s="110" t="s">
        <v>9</v>
      </c>
      <c r="K6" s="110" t="s">
        <v>332</v>
      </c>
      <c r="L6" s="116" t="s">
        <v>11</v>
      </c>
      <c r="N6" s="117" t="s">
        <v>6</v>
      </c>
      <c r="O6" s="113" t="s">
        <v>7</v>
      </c>
      <c r="P6" s="113" t="s">
        <v>8</v>
      </c>
      <c r="Q6" s="113" t="s">
        <v>9</v>
      </c>
      <c r="R6" s="113" t="s">
        <v>332</v>
      </c>
      <c r="S6" s="118" t="s">
        <v>11</v>
      </c>
      <c r="U6" s="135" t="s">
        <v>6</v>
      </c>
      <c r="V6" s="136" t="s">
        <v>7</v>
      </c>
      <c r="W6" s="136" t="s">
        <v>8</v>
      </c>
      <c r="X6" s="136" t="s">
        <v>9</v>
      </c>
      <c r="Y6" s="136" t="s">
        <v>332</v>
      </c>
      <c r="Z6" s="137" t="s">
        <v>11</v>
      </c>
      <c r="AB6" s="119" t="s">
        <v>6</v>
      </c>
      <c r="AC6" s="112" t="s">
        <v>7</v>
      </c>
      <c r="AD6" s="112" t="s">
        <v>8</v>
      </c>
      <c r="AE6" s="112" t="s">
        <v>9</v>
      </c>
      <c r="AF6" s="112" t="s">
        <v>332</v>
      </c>
      <c r="AG6" s="120" t="s">
        <v>11</v>
      </c>
      <c r="AI6" s="121" t="s">
        <v>6</v>
      </c>
      <c r="AJ6" s="114" t="s">
        <v>7</v>
      </c>
      <c r="AK6" s="114" t="s">
        <v>8</v>
      </c>
      <c r="AL6" s="114" t="s">
        <v>9</v>
      </c>
      <c r="AM6" s="114" t="s">
        <v>332</v>
      </c>
      <c r="AN6" s="122" t="s">
        <v>11</v>
      </c>
      <c r="AP6" s="138" t="s">
        <v>6</v>
      </c>
      <c r="AQ6" s="139" t="s">
        <v>7</v>
      </c>
      <c r="AR6" s="139" t="s">
        <v>8</v>
      </c>
      <c r="AS6" s="139" t="s">
        <v>9</v>
      </c>
      <c r="AT6" s="139" t="s">
        <v>332</v>
      </c>
      <c r="AU6" s="140" t="s">
        <v>11</v>
      </c>
      <c r="AW6" s="123" t="s">
        <v>6</v>
      </c>
      <c r="AX6" s="115" t="s">
        <v>7</v>
      </c>
      <c r="AY6" s="115" t="s">
        <v>8</v>
      </c>
      <c r="AZ6" s="115" t="s">
        <v>9</v>
      </c>
      <c r="BA6" s="115" t="s">
        <v>332</v>
      </c>
      <c r="BB6" s="124" t="s">
        <v>11</v>
      </c>
      <c r="BD6" s="301" t="s">
        <v>127</v>
      </c>
      <c r="BE6" s="100" t="s">
        <v>12</v>
      </c>
    </row>
    <row r="7" spans="1:57">
      <c r="B7" s="30">
        <v>1</v>
      </c>
      <c r="C7" s="38"/>
      <c r="D7" s="33"/>
      <c r="E7" s="130"/>
      <c r="F7" s="95"/>
      <c r="G7" s="126"/>
      <c r="H7" s="126"/>
      <c r="I7" s="126"/>
      <c r="J7" s="126"/>
      <c r="K7" s="126"/>
      <c r="L7" s="127"/>
      <c r="N7" s="186" t="str">
        <f>IF(OR($E7="",$E7="E",$E7="D",$E7="C",$E7="B",$E7="A",$E7="S"),"",G7*1.231)</f>
        <v/>
      </c>
      <c r="O7" s="187" t="str">
        <f>IF(OR($E7="",$E7="E",$E7="D",$E7="C",$E7="B",$E7="A",$E7="S"),"",H7*1.218)</f>
        <v/>
      </c>
      <c r="P7" s="187" t="str">
        <f>IF(OR($E7="",$E7="E",$E7="D",$E7="C",$E7="B",$E7="A",$E7="S"),"",I7*1.222)</f>
        <v/>
      </c>
      <c r="Q7" s="187" t="str">
        <f>IF(OR($E7="",$E7="E",$E7="D",$E7="C",$E7="B",$E7="A",$E7="S"),"",J7*1.213)</f>
        <v/>
      </c>
      <c r="R7" s="187" t="str">
        <f>IF(OR($E7="",$E7="E",$E7="D",$E7="C",$E7="B",$E7="A",$E7="S"),"",K7*1.207)</f>
        <v/>
      </c>
      <c r="S7" s="188" t="str">
        <f>IF(OR($E7="",$E7="E",$E7="D",$E7="C",$E7="B",$E7="A",$E7="S"),"",L7*1.222)</f>
        <v/>
      </c>
      <c r="U7" s="186" t="str">
        <f>IF(OR($E7="",$E7="D",$E7="C",$E7="B",$E7="A",$E7="S"),"",IF($E7="E",$G7*1.231,N7*1.231))</f>
        <v/>
      </c>
      <c r="V7" s="187" t="str">
        <f>IF(OR($E7="",$E7="D",$E7="C",$E7="B",$E7="A",$E7="S"),"",IF($E7="E",$H7*1.218,O7*1.218))</f>
        <v/>
      </c>
      <c r="W7" s="187" t="str">
        <f>IF(OR($E7="",$E7="D",$E7="C",$E7="B",$E7="A",$E7="S"),"",IF($E7="E",$I7*1.222,P7*1.222))</f>
        <v/>
      </c>
      <c r="X7" s="187" t="str">
        <f>IF(OR($E7="",$E7="D",$E7="C",$E7="B",$E7="A",$E7="S"),"",IF($E7="E",$J7*1.213,Q7*1.213))</f>
        <v/>
      </c>
      <c r="Y7" s="187" t="str">
        <f>IF(OR($E7="",$E7="D",$E7="C",$E7="B",$E7="A",$E7="S"),"",IF($E7="E",$K7*1.207,R7*1.207))</f>
        <v/>
      </c>
      <c r="Z7" s="188" t="str">
        <f>IF(OR($E7="",$E7="D",$E7="C",$E7="B",$E7="A",$E7="S"),"",IF($E7="E",$L7*1.222,S7*1.222))</f>
        <v/>
      </c>
      <c r="AB7" s="186" t="str">
        <f>IF(OR($E7="",$E7="C",$E7="B",$E7="A",$E7="S"),"",IF($E7="D",$G7*1.231,U7*1.231))</f>
        <v/>
      </c>
      <c r="AC7" s="187" t="str">
        <f>IF(OR($E7="",$E7="C",$E7="B",$E7="A",$E7="S"),"",IF($E7="D",$H7*1.218,V7*1.218))</f>
        <v/>
      </c>
      <c r="AD7" s="187" t="str">
        <f>IF(OR($E7="",$E7="C",$E7="B",$E7="A",$E7="S"),"",IF($E7="D",$I7*1.222,W7*1.222))</f>
        <v/>
      </c>
      <c r="AE7" s="187" t="str">
        <f>IF(OR($E7="",$E7="C",$E7="B",$E7="A",$E7="S"),"",IF($E7="D",$J7*1.213,X7*1.213))</f>
        <v/>
      </c>
      <c r="AF7" s="187" t="str">
        <f>IF(OR($E7="",$E7="C",$E7="B",$E7="A",$E7="S"),"",IF($E7="D",$K7*1.207,Y7*1.207))</f>
        <v/>
      </c>
      <c r="AG7" s="188" t="str">
        <f>IF(OR($E7="",$E7="C",$E7="B",$E7="A",$E7="S"),"",IF($E7="D",$L7*1.222,Z7*1.222))</f>
        <v/>
      </c>
      <c r="AI7" s="186" t="str">
        <f>IF(OR($E7="",$E7="B",$E7="A",$E7="S"),"",IF($E7="C",$G7*1.231,AB7*1.231))</f>
        <v/>
      </c>
      <c r="AJ7" s="187" t="str">
        <f>IF(OR($E7="",$E7="B",$E7="A",$E7="S"),"",IF($E7="C",$H7*1.218,AC7*1.218))</f>
        <v/>
      </c>
      <c r="AK7" s="187" t="str">
        <f>IF(OR($E7="",$E7="B",$E7="A",$E7="S"),"",IF($E7="C",$I7*1.222,AD7*1.222))</f>
        <v/>
      </c>
      <c r="AL7" s="187" t="str">
        <f>IF(OR($E7="",$E7="B",$E7="A",$E7="S"),"",IF($E7="C",$J7*1.213,AE7*1.213))</f>
        <v/>
      </c>
      <c r="AM7" s="187" t="str">
        <f>IF(OR($E7="",$E7="B",$E7="A",$E7="S"),"",IF($E7="C",$K7*1.207,AF7*1.207))</f>
        <v/>
      </c>
      <c r="AN7" s="188" t="str">
        <f>IF(OR($E7="",$E7="B",$E7="A",$E7="S"),"",IF($E7="C",$L7*1.222,AG7*1.222))</f>
        <v/>
      </c>
      <c r="AP7" s="186" t="str">
        <f>IF(OR($E7="",$E7="A",$E7="S"),"",IF($E7="B",$G7*1.231,AI7*1.231))</f>
        <v/>
      </c>
      <c r="AQ7" s="187" t="str">
        <f>IF(OR($E7="",$E7="A",$E7="S"),"",IF($E7="B",$H7*1.218,AJ7*1.218))</f>
        <v/>
      </c>
      <c r="AR7" s="187" t="str">
        <f>IF(OR($E7="",$E7="A",$E7="S"),"",IF($E7="B",$I7*1.222,AK7*1.222))</f>
        <v/>
      </c>
      <c r="AS7" s="187" t="str">
        <f>IF(OR($E7="",$E7="A",$E7="S"),"",IF($E7="B",$J7*1.213,AL7*1.213))</f>
        <v/>
      </c>
      <c r="AT7" s="187" t="str">
        <f>IF(OR($E7="",$E7="A",$E7="S"),"",IF($E7="B",$K7*1.207,AM7*1.207))</f>
        <v/>
      </c>
      <c r="AU7" s="188" t="str">
        <f>IF(OR($E7="",$E7="A",$E7="S"),"",IF($E7="B",$L7*1.222,AN7*1.222))</f>
        <v/>
      </c>
      <c r="AW7" s="186" t="str">
        <f>IF(OR($E7="",$E7="S"),"",IF($E7="A",$G7*1.231,AP7*1.231))</f>
        <v/>
      </c>
      <c r="AX7" s="187" t="str">
        <f>IF(OR($E7="",$E7="S"),"",IF($E7="A",$H7*1.218,AQ7*1.218))</f>
        <v/>
      </c>
      <c r="AY7" s="187" t="str">
        <f>IF(OR($E7="",$E7="S"),"",IF($E7="A",$I7*1.222,AR7*1.222))</f>
        <v/>
      </c>
      <c r="AZ7" s="187" t="str">
        <f>IF(OR($E7="",$E7="S"),"",IF($E7="A",$J7*1.213,AS7*1.213))</f>
        <v/>
      </c>
      <c r="BA7" s="187" t="str">
        <f>IF(OR($E7="",$E7="S"),"",IF($E7="A",$K7*1.207,AT7*1.207))</f>
        <v/>
      </c>
      <c r="BB7" s="188" t="str">
        <f>IF(OR($E7="",$E7="S"),"",IF($E7="A",$L7*1.222,AU7*1.222))</f>
        <v/>
      </c>
      <c r="BD7" s="301" t="s">
        <v>918</v>
      </c>
      <c r="BE7" s="100" t="s">
        <v>15</v>
      </c>
    </row>
    <row r="8" spans="1:57">
      <c r="B8" s="30">
        <v>2</v>
      </c>
      <c r="C8" s="38"/>
      <c r="D8" s="33"/>
      <c r="E8" s="130"/>
      <c r="F8" s="95"/>
      <c r="G8" s="126"/>
      <c r="H8" s="126"/>
      <c r="I8" s="126"/>
      <c r="J8" s="126"/>
      <c r="K8" s="126"/>
      <c r="L8" s="127"/>
      <c r="M8" s="148"/>
      <c r="N8" s="186" t="str">
        <f t="shared" ref="N8:N14" si="0">IF(OR($E8="",$E8="E",$E8="D",$E8="C",$E8="B",$E8="A",$E8="S"),"",G8*1.231)</f>
        <v/>
      </c>
      <c r="O8" s="187" t="str">
        <f t="shared" ref="O8:O14" si="1">IF(OR($E8="",$E8="E",$E8="D",$E8="C",$E8="B",$E8="A",$E8="S"),"",H8*1.218)</f>
        <v/>
      </c>
      <c r="P8" s="187" t="str">
        <f t="shared" ref="P8:P14" si="2">IF(OR($E8="",$E8="E",$E8="D",$E8="C",$E8="B",$E8="A",$E8="S"),"",I8*1.222)</f>
        <v/>
      </c>
      <c r="Q8" s="187" t="str">
        <f t="shared" ref="Q8:Q14" si="3">IF(OR($E8="",$E8="E",$E8="D",$E8="C",$E8="B",$E8="A",$E8="S"),"",J8*1.213)</f>
        <v/>
      </c>
      <c r="R8" s="187" t="str">
        <f t="shared" ref="R8:R14" si="4">IF(OR($E8="",$E8="E",$E8="D",$E8="C",$E8="B",$E8="A",$E8="S"),"",K8*1.207)</f>
        <v/>
      </c>
      <c r="S8" s="188" t="str">
        <f t="shared" ref="S8:S14" si="5">IF(OR($E8="",$E8="E",$E8="D",$E8="C",$E8="B",$E8="A",$E8="S"),"",L8*1.222)</f>
        <v/>
      </c>
      <c r="U8" s="186" t="str">
        <f t="shared" ref="U8:U14" si="6">IF(OR($E8="",$E8="D",$E8="C",$E8="B",$E8="A",$E8="S"),"",IF($E8="E",$G8*1.231,N8*1.231))</f>
        <v/>
      </c>
      <c r="V8" s="187" t="str">
        <f t="shared" ref="V8:V14" si="7">IF(OR($E8="",$E8="D",$E8="C",$E8="B",$E8="A",$E8="S"),"",IF($E8="E",$H8*1.218,O8*1.218))</f>
        <v/>
      </c>
      <c r="W8" s="187" t="str">
        <f t="shared" ref="W8:W14" si="8">IF(OR($E8="",$E8="D",$E8="C",$E8="B",$E8="A",$E8="S"),"",IF($E8="E",$I8*1.222,P8*1.222))</f>
        <v/>
      </c>
      <c r="X8" s="187" t="str">
        <f t="shared" ref="X8:X14" si="9">IF(OR($E8="",$E8="D",$E8="C",$E8="B",$E8="A",$E8="S"),"",IF($E8="E",$J8*1.213,Q8*1.213))</f>
        <v/>
      </c>
      <c r="Y8" s="187" t="str">
        <f t="shared" ref="Y8:Y14" si="10">IF(OR($E8="",$E8="D",$E8="C",$E8="B",$E8="A",$E8="S"),"",IF($E8="E",$K8*1.207,R8*1.207))</f>
        <v/>
      </c>
      <c r="Z8" s="188" t="str">
        <f t="shared" ref="Z8:Z14" si="11">IF(OR($E8="",$E8="D",$E8="C",$E8="B",$E8="A",$E8="S"),"",IF($E8="E",$L8*1.222,S8*1.222))</f>
        <v/>
      </c>
      <c r="AB8" s="186" t="str">
        <f t="shared" ref="AB8:AB14" si="12">IF(OR($E8="",$E8="C",$E8="B",$E8="A",$E8="S"),"",IF($E8="D",$G8*1.231,U8*1.231))</f>
        <v/>
      </c>
      <c r="AC8" s="187" t="str">
        <f t="shared" ref="AC8:AC14" si="13">IF(OR($E8="",$E8="C",$E8="B",$E8="A",$E8="S"),"",IF($E8="D",$H8*1.218,V8*1.218))</f>
        <v/>
      </c>
      <c r="AD8" s="187" t="str">
        <f t="shared" ref="AD8:AD14" si="14">IF(OR($E8="",$E8="C",$E8="B",$E8="A",$E8="S"),"",IF($E8="D",$I8*1.222,W8*1.222))</f>
        <v/>
      </c>
      <c r="AE8" s="187" t="str">
        <f t="shared" ref="AE8:AE14" si="15">IF(OR($E8="",$E8="C",$E8="B",$E8="A",$E8="S"),"",IF($E8="D",$J8*1.213,X8*1.213))</f>
        <v/>
      </c>
      <c r="AF8" s="187" t="str">
        <f t="shared" ref="AF8:AF14" si="16">IF(OR($E8="",$E8="C",$E8="B",$E8="A",$E8="S"),"",IF($E8="D",$K8*1.207,Y8*1.207))</f>
        <v/>
      </c>
      <c r="AG8" s="188" t="str">
        <f t="shared" ref="AG8:AG14" si="17">IF(OR($E8="",$E8="C",$E8="B",$E8="A",$E8="S"),"",IF($E8="D",$L8*1.222,Z8*1.222))</f>
        <v/>
      </c>
      <c r="AI8" s="186" t="str">
        <f t="shared" ref="AI8:AI14" si="18">IF(OR($E8="",$E8="B",$E8="A",$E8="S"),"",IF($E8="C",$G8*1.231,AB8*1.231))</f>
        <v/>
      </c>
      <c r="AJ8" s="187" t="str">
        <f t="shared" ref="AJ8:AJ14" si="19">IF(OR($E8="",$E8="B",$E8="A",$E8="S"),"",IF($E8="C",$H8*1.218,AC8*1.218))</f>
        <v/>
      </c>
      <c r="AK8" s="187" t="str">
        <f t="shared" ref="AK8:AK14" si="20">IF(OR($E8="",$E8="B",$E8="A",$E8="S"),"",IF($E8="C",$I8*1.222,AD8*1.222))</f>
        <v/>
      </c>
      <c r="AL8" s="187" t="str">
        <f t="shared" ref="AL8:AL14" si="21">IF(OR($E8="",$E8="B",$E8="A",$E8="S"),"",IF($E8="C",$J8*1.213,AE8*1.213))</f>
        <v/>
      </c>
      <c r="AM8" s="187" t="str">
        <f t="shared" ref="AM8:AM14" si="22">IF(OR($E8="",$E8="B",$E8="A",$E8="S"),"",IF($E8="C",$K8*1.207,AF8*1.207))</f>
        <v/>
      </c>
      <c r="AN8" s="188" t="str">
        <f t="shared" ref="AN8:AN14" si="23">IF(OR($E8="",$E8="B",$E8="A",$E8="S"),"",IF($E8="C",$L8*1.222,AG8*1.222))</f>
        <v/>
      </c>
      <c r="AP8" s="186" t="str">
        <f t="shared" ref="AP8:AP14" si="24">IF(OR($E8="",$E8="A",$E8="S"),"",IF($E8="B",$G8*1.231,AI8*1.231))</f>
        <v/>
      </c>
      <c r="AQ8" s="187" t="str">
        <f t="shared" ref="AQ8:AQ14" si="25">IF(OR($E8="",$E8="A",$E8="S"),"",IF($E8="B",$H8*1.218,AJ8*1.218))</f>
        <v/>
      </c>
      <c r="AR8" s="187" t="str">
        <f t="shared" ref="AR8:AR14" si="26">IF(OR($E8="",$E8="A",$E8="S"),"",IF($E8="B",$I8*1.222,AK8*1.222))</f>
        <v/>
      </c>
      <c r="AS8" s="187" t="str">
        <f t="shared" ref="AS8:AS14" si="27">IF(OR($E8="",$E8="A",$E8="S"),"",IF($E8="B",$J8*1.213,AL8*1.213))</f>
        <v/>
      </c>
      <c r="AT8" s="187" t="str">
        <f t="shared" ref="AT8:AT14" si="28">IF(OR($E8="",$E8="A",$E8="S"),"",IF($E8="B",$K8*1.207,AM8*1.207))</f>
        <v/>
      </c>
      <c r="AU8" s="188" t="str">
        <f t="shared" ref="AU8:AU14" si="29">IF(OR($E8="",$E8="A",$E8="S"),"",IF($E8="B",$L8*1.222,AN8*1.222))</f>
        <v/>
      </c>
      <c r="AW8" s="186" t="str">
        <f t="shared" ref="AW8:AW14" si="30">IF(OR($E8="",$E8="S"),"",IF($E8="A",$G8*1.231,AP8*1.231))</f>
        <v/>
      </c>
      <c r="AX8" s="187" t="str">
        <f t="shared" ref="AX8:AX14" si="31">IF(OR($E8="",$E8="S"),"",IF($E8="A",$H8*1.218,AQ8*1.218))</f>
        <v/>
      </c>
      <c r="AY8" s="187" t="str">
        <f t="shared" ref="AY8:AY14" si="32">IF(OR($E8="",$E8="S"),"",IF($E8="A",$I8*1.222,AR8*1.222))</f>
        <v/>
      </c>
      <c r="AZ8" s="187" t="str">
        <f t="shared" ref="AZ8:AZ14" si="33">IF(OR($E8="",$E8="S"),"",IF($E8="A",$J8*1.213,AS8*1.213))</f>
        <v/>
      </c>
      <c r="BA8" s="187" t="str">
        <f t="shared" ref="BA8:BA14" si="34">IF(OR($E8="",$E8="S"),"",IF($E8="A",$K8*1.207,AT8*1.207))</f>
        <v/>
      </c>
      <c r="BB8" s="188" t="str">
        <f t="shared" ref="BB8:BB14" si="35">IF(OR($E8="",$E8="S"),"",IF($E8="A",$L8*1.222,AU8*1.222))</f>
        <v/>
      </c>
      <c r="BD8" s="301" t="s">
        <v>204</v>
      </c>
      <c r="BE8" s="100" t="s">
        <v>316</v>
      </c>
    </row>
    <row r="9" spans="1:57">
      <c r="B9" s="30">
        <v>3</v>
      </c>
      <c r="C9" s="38"/>
      <c r="D9" s="33"/>
      <c r="E9" s="130"/>
      <c r="F9" s="95"/>
      <c r="G9" s="126"/>
      <c r="H9" s="126"/>
      <c r="I9" s="126"/>
      <c r="J9" s="126"/>
      <c r="K9" s="126"/>
      <c r="L9" s="127"/>
      <c r="M9" s="148"/>
      <c r="N9" s="186" t="str">
        <f t="shared" si="0"/>
        <v/>
      </c>
      <c r="O9" s="187" t="str">
        <f t="shared" si="1"/>
        <v/>
      </c>
      <c r="P9" s="187" t="str">
        <f t="shared" si="2"/>
        <v/>
      </c>
      <c r="Q9" s="187" t="str">
        <f t="shared" si="3"/>
        <v/>
      </c>
      <c r="R9" s="187" t="str">
        <f t="shared" si="4"/>
        <v/>
      </c>
      <c r="S9" s="188" t="str">
        <f t="shared" si="5"/>
        <v/>
      </c>
      <c r="U9" s="186" t="str">
        <f t="shared" si="6"/>
        <v/>
      </c>
      <c r="V9" s="187" t="str">
        <f t="shared" si="7"/>
        <v/>
      </c>
      <c r="W9" s="187" t="str">
        <f t="shared" si="8"/>
        <v/>
      </c>
      <c r="X9" s="187" t="str">
        <f t="shared" si="9"/>
        <v/>
      </c>
      <c r="Y9" s="187" t="str">
        <f t="shared" si="10"/>
        <v/>
      </c>
      <c r="Z9" s="188" t="str">
        <f t="shared" si="11"/>
        <v/>
      </c>
      <c r="AB9" s="186" t="str">
        <f t="shared" si="12"/>
        <v/>
      </c>
      <c r="AC9" s="187" t="str">
        <f t="shared" si="13"/>
        <v/>
      </c>
      <c r="AD9" s="187" t="str">
        <f t="shared" si="14"/>
        <v/>
      </c>
      <c r="AE9" s="187" t="str">
        <f t="shared" si="15"/>
        <v/>
      </c>
      <c r="AF9" s="187" t="str">
        <f t="shared" si="16"/>
        <v/>
      </c>
      <c r="AG9" s="188" t="str">
        <f t="shared" si="17"/>
        <v/>
      </c>
      <c r="AI9" s="186" t="str">
        <f t="shared" si="18"/>
        <v/>
      </c>
      <c r="AJ9" s="187" t="str">
        <f t="shared" si="19"/>
        <v/>
      </c>
      <c r="AK9" s="187" t="str">
        <f t="shared" si="20"/>
        <v/>
      </c>
      <c r="AL9" s="187" t="str">
        <f t="shared" si="21"/>
        <v/>
      </c>
      <c r="AM9" s="187" t="str">
        <f t="shared" si="22"/>
        <v/>
      </c>
      <c r="AN9" s="188" t="str">
        <f t="shared" si="23"/>
        <v/>
      </c>
      <c r="AP9" s="186" t="str">
        <f t="shared" si="24"/>
        <v/>
      </c>
      <c r="AQ9" s="187" t="str">
        <f t="shared" si="25"/>
        <v/>
      </c>
      <c r="AR9" s="187" t="str">
        <f t="shared" si="26"/>
        <v/>
      </c>
      <c r="AS9" s="187" t="str">
        <f t="shared" si="27"/>
        <v/>
      </c>
      <c r="AT9" s="187" t="str">
        <f t="shared" si="28"/>
        <v/>
      </c>
      <c r="AU9" s="188" t="str">
        <f t="shared" si="29"/>
        <v/>
      </c>
      <c r="AW9" s="186" t="str">
        <f t="shared" si="30"/>
        <v/>
      </c>
      <c r="AX9" s="187" t="str">
        <f t="shared" si="31"/>
        <v/>
      </c>
      <c r="AY9" s="187" t="str">
        <f t="shared" si="32"/>
        <v/>
      </c>
      <c r="AZ9" s="187" t="str">
        <f t="shared" si="33"/>
        <v/>
      </c>
      <c r="BA9" s="187" t="str">
        <f t="shared" si="34"/>
        <v/>
      </c>
      <c r="BB9" s="188" t="str">
        <f t="shared" si="35"/>
        <v/>
      </c>
      <c r="BD9" s="301" t="s">
        <v>912</v>
      </c>
      <c r="BE9" s="100" t="s">
        <v>317</v>
      </c>
    </row>
    <row r="10" spans="1:57">
      <c r="B10" s="30">
        <v>4</v>
      </c>
      <c r="C10" s="38"/>
      <c r="D10" s="33"/>
      <c r="E10" s="130"/>
      <c r="F10" s="95"/>
      <c r="G10" s="126"/>
      <c r="H10" s="126"/>
      <c r="I10" s="126"/>
      <c r="J10" s="126"/>
      <c r="K10" s="126"/>
      <c r="L10" s="127"/>
      <c r="N10" s="186" t="str">
        <f t="shared" si="0"/>
        <v/>
      </c>
      <c r="O10" s="187" t="str">
        <f t="shared" si="1"/>
        <v/>
      </c>
      <c r="P10" s="187" t="str">
        <f t="shared" si="2"/>
        <v/>
      </c>
      <c r="Q10" s="187" t="str">
        <f t="shared" si="3"/>
        <v/>
      </c>
      <c r="R10" s="187" t="str">
        <f t="shared" si="4"/>
        <v/>
      </c>
      <c r="S10" s="188" t="str">
        <f t="shared" si="5"/>
        <v/>
      </c>
      <c r="U10" s="186" t="str">
        <f t="shared" si="6"/>
        <v/>
      </c>
      <c r="V10" s="187" t="str">
        <f t="shared" si="7"/>
        <v/>
      </c>
      <c r="W10" s="187" t="str">
        <f t="shared" si="8"/>
        <v/>
      </c>
      <c r="X10" s="187" t="str">
        <f t="shared" si="9"/>
        <v/>
      </c>
      <c r="Y10" s="187" t="str">
        <f t="shared" si="10"/>
        <v/>
      </c>
      <c r="Z10" s="188" t="str">
        <f t="shared" si="11"/>
        <v/>
      </c>
      <c r="AB10" s="186" t="str">
        <f t="shared" si="12"/>
        <v/>
      </c>
      <c r="AC10" s="187" t="str">
        <f t="shared" si="13"/>
        <v/>
      </c>
      <c r="AD10" s="187" t="str">
        <f t="shared" si="14"/>
        <v/>
      </c>
      <c r="AE10" s="187" t="str">
        <f t="shared" si="15"/>
        <v/>
      </c>
      <c r="AF10" s="187" t="str">
        <f t="shared" si="16"/>
        <v/>
      </c>
      <c r="AG10" s="188" t="str">
        <f t="shared" si="17"/>
        <v/>
      </c>
      <c r="AI10" s="186" t="str">
        <f t="shared" si="18"/>
        <v/>
      </c>
      <c r="AJ10" s="187" t="str">
        <f t="shared" si="19"/>
        <v/>
      </c>
      <c r="AK10" s="187" t="str">
        <f t="shared" si="20"/>
        <v/>
      </c>
      <c r="AL10" s="187" t="str">
        <f t="shared" si="21"/>
        <v/>
      </c>
      <c r="AM10" s="187" t="str">
        <f t="shared" si="22"/>
        <v/>
      </c>
      <c r="AN10" s="188" t="str">
        <f t="shared" si="23"/>
        <v/>
      </c>
      <c r="AP10" s="186" t="str">
        <f t="shared" si="24"/>
        <v/>
      </c>
      <c r="AQ10" s="187" t="str">
        <f t="shared" si="25"/>
        <v/>
      </c>
      <c r="AR10" s="187" t="str">
        <f t="shared" si="26"/>
        <v/>
      </c>
      <c r="AS10" s="187" t="str">
        <f t="shared" si="27"/>
        <v/>
      </c>
      <c r="AT10" s="187" t="str">
        <f t="shared" si="28"/>
        <v/>
      </c>
      <c r="AU10" s="188" t="str">
        <f t="shared" si="29"/>
        <v/>
      </c>
      <c r="AW10" s="186" t="str">
        <f t="shared" si="30"/>
        <v/>
      </c>
      <c r="AX10" s="187" t="str">
        <f t="shared" si="31"/>
        <v/>
      </c>
      <c r="AY10" s="187" t="str">
        <f t="shared" si="32"/>
        <v/>
      </c>
      <c r="AZ10" s="187" t="str">
        <f t="shared" si="33"/>
        <v/>
      </c>
      <c r="BA10" s="187" t="str">
        <f t="shared" si="34"/>
        <v/>
      </c>
      <c r="BB10" s="188" t="str">
        <f t="shared" si="35"/>
        <v/>
      </c>
      <c r="BD10" s="301" t="s">
        <v>89</v>
      </c>
      <c r="BE10" s="100" t="s">
        <v>21</v>
      </c>
    </row>
    <row r="11" spans="1:57">
      <c r="B11" s="30">
        <v>5</v>
      </c>
      <c r="C11" s="38"/>
      <c r="D11" s="33"/>
      <c r="E11" s="130"/>
      <c r="F11" s="95"/>
      <c r="G11" s="126"/>
      <c r="H11" s="126"/>
      <c r="I11" s="126"/>
      <c r="J11" s="126"/>
      <c r="K11" s="126"/>
      <c r="L11" s="127"/>
      <c r="N11" s="186" t="str">
        <f t="shared" si="0"/>
        <v/>
      </c>
      <c r="O11" s="187" t="str">
        <f t="shared" si="1"/>
        <v/>
      </c>
      <c r="P11" s="187" t="str">
        <f t="shared" si="2"/>
        <v/>
      </c>
      <c r="Q11" s="187" t="str">
        <f t="shared" si="3"/>
        <v/>
      </c>
      <c r="R11" s="187" t="str">
        <f t="shared" si="4"/>
        <v/>
      </c>
      <c r="S11" s="188" t="str">
        <f t="shared" si="5"/>
        <v/>
      </c>
      <c r="U11" s="186" t="str">
        <f t="shared" si="6"/>
        <v/>
      </c>
      <c r="V11" s="187" t="str">
        <f t="shared" si="7"/>
        <v/>
      </c>
      <c r="W11" s="187" t="str">
        <f t="shared" si="8"/>
        <v/>
      </c>
      <c r="X11" s="187" t="str">
        <f t="shared" si="9"/>
        <v/>
      </c>
      <c r="Y11" s="187" t="str">
        <f t="shared" si="10"/>
        <v/>
      </c>
      <c r="Z11" s="188" t="str">
        <f t="shared" si="11"/>
        <v/>
      </c>
      <c r="AB11" s="186" t="str">
        <f t="shared" si="12"/>
        <v/>
      </c>
      <c r="AC11" s="187" t="str">
        <f t="shared" si="13"/>
        <v/>
      </c>
      <c r="AD11" s="187" t="str">
        <f t="shared" si="14"/>
        <v/>
      </c>
      <c r="AE11" s="187" t="str">
        <f t="shared" si="15"/>
        <v/>
      </c>
      <c r="AF11" s="187" t="str">
        <f t="shared" si="16"/>
        <v/>
      </c>
      <c r="AG11" s="188" t="str">
        <f t="shared" si="17"/>
        <v/>
      </c>
      <c r="AI11" s="186" t="str">
        <f t="shared" si="18"/>
        <v/>
      </c>
      <c r="AJ11" s="187" t="str">
        <f t="shared" si="19"/>
        <v/>
      </c>
      <c r="AK11" s="187" t="str">
        <f t="shared" si="20"/>
        <v/>
      </c>
      <c r="AL11" s="187" t="str">
        <f t="shared" si="21"/>
        <v/>
      </c>
      <c r="AM11" s="187" t="str">
        <f t="shared" si="22"/>
        <v/>
      </c>
      <c r="AN11" s="188" t="str">
        <f t="shared" si="23"/>
        <v/>
      </c>
      <c r="AP11" s="186" t="str">
        <f t="shared" si="24"/>
        <v/>
      </c>
      <c r="AQ11" s="187" t="str">
        <f t="shared" si="25"/>
        <v/>
      </c>
      <c r="AR11" s="187" t="str">
        <f t="shared" si="26"/>
        <v/>
      </c>
      <c r="AS11" s="187" t="str">
        <f t="shared" si="27"/>
        <v/>
      </c>
      <c r="AT11" s="187" t="str">
        <f t="shared" si="28"/>
        <v/>
      </c>
      <c r="AU11" s="188" t="str">
        <f t="shared" si="29"/>
        <v/>
      </c>
      <c r="AW11" s="186" t="str">
        <f t="shared" si="30"/>
        <v/>
      </c>
      <c r="AX11" s="187" t="str">
        <f t="shared" si="31"/>
        <v/>
      </c>
      <c r="AY11" s="187" t="str">
        <f t="shared" si="32"/>
        <v/>
      </c>
      <c r="AZ11" s="187" t="str">
        <f t="shared" si="33"/>
        <v/>
      </c>
      <c r="BA11" s="187" t="str">
        <f t="shared" si="34"/>
        <v/>
      </c>
      <c r="BB11" s="188" t="str">
        <f t="shared" si="35"/>
        <v/>
      </c>
      <c r="BD11" s="301" t="s">
        <v>158</v>
      </c>
      <c r="BE11" s="100" t="s">
        <v>22</v>
      </c>
    </row>
    <row r="12" spans="1:57">
      <c r="B12" s="30">
        <v>6</v>
      </c>
      <c r="C12" s="38"/>
      <c r="D12" s="33"/>
      <c r="E12" s="130"/>
      <c r="F12" s="95"/>
      <c r="G12" s="126"/>
      <c r="H12" s="126"/>
      <c r="I12" s="126"/>
      <c r="J12" s="126"/>
      <c r="K12" s="126"/>
      <c r="L12" s="127"/>
      <c r="N12" s="186" t="str">
        <f t="shared" si="0"/>
        <v/>
      </c>
      <c r="O12" s="187" t="str">
        <f t="shared" si="1"/>
        <v/>
      </c>
      <c r="P12" s="187" t="str">
        <f t="shared" si="2"/>
        <v/>
      </c>
      <c r="Q12" s="187" t="str">
        <f t="shared" si="3"/>
        <v/>
      </c>
      <c r="R12" s="187" t="str">
        <f t="shared" si="4"/>
        <v/>
      </c>
      <c r="S12" s="188" t="str">
        <f t="shared" si="5"/>
        <v/>
      </c>
      <c r="U12" s="186" t="str">
        <f t="shared" si="6"/>
        <v/>
      </c>
      <c r="V12" s="187" t="str">
        <f t="shared" si="7"/>
        <v/>
      </c>
      <c r="W12" s="187" t="str">
        <f t="shared" si="8"/>
        <v/>
      </c>
      <c r="X12" s="187" t="str">
        <f t="shared" si="9"/>
        <v/>
      </c>
      <c r="Y12" s="187" t="str">
        <f t="shared" si="10"/>
        <v/>
      </c>
      <c r="Z12" s="188" t="str">
        <f t="shared" si="11"/>
        <v/>
      </c>
      <c r="AB12" s="186" t="str">
        <f t="shared" si="12"/>
        <v/>
      </c>
      <c r="AC12" s="187" t="str">
        <f t="shared" si="13"/>
        <v/>
      </c>
      <c r="AD12" s="187" t="str">
        <f t="shared" si="14"/>
        <v/>
      </c>
      <c r="AE12" s="187" t="str">
        <f t="shared" si="15"/>
        <v/>
      </c>
      <c r="AF12" s="187" t="str">
        <f t="shared" si="16"/>
        <v/>
      </c>
      <c r="AG12" s="188" t="str">
        <f t="shared" si="17"/>
        <v/>
      </c>
      <c r="AI12" s="186" t="str">
        <f t="shared" si="18"/>
        <v/>
      </c>
      <c r="AJ12" s="187" t="str">
        <f t="shared" si="19"/>
        <v/>
      </c>
      <c r="AK12" s="187" t="str">
        <f t="shared" si="20"/>
        <v/>
      </c>
      <c r="AL12" s="187" t="str">
        <f t="shared" si="21"/>
        <v/>
      </c>
      <c r="AM12" s="187" t="str">
        <f t="shared" si="22"/>
        <v/>
      </c>
      <c r="AN12" s="188" t="str">
        <f t="shared" si="23"/>
        <v/>
      </c>
      <c r="AP12" s="186" t="str">
        <f t="shared" si="24"/>
        <v/>
      </c>
      <c r="AQ12" s="187" t="str">
        <f t="shared" si="25"/>
        <v/>
      </c>
      <c r="AR12" s="187" t="str">
        <f t="shared" si="26"/>
        <v/>
      </c>
      <c r="AS12" s="187" t="str">
        <f t="shared" si="27"/>
        <v/>
      </c>
      <c r="AT12" s="187" t="str">
        <f t="shared" si="28"/>
        <v/>
      </c>
      <c r="AU12" s="188" t="str">
        <f t="shared" si="29"/>
        <v/>
      </c>
      <c r="AW12" s="186" t="str">
        <f t="shared" si="30"/>
        <v/>
      </c>
      <c r="AX12" s="187" t="str">
        <f t="shared" si="31"/>
        <v/>
      </c>
      <c r="AY12" s="187" t="str">
        <f t="shared" si="32"/>
        <v/>
      </c>
      <c r="AZ12" s="187" t="str">
        <f t="shared" si="33"/>
        <v/>
      </c>
      <c r="BA12" s="187" t="str">
        <f t="shared" si="34"/>
        <v/>
      </c>
      <c r="BB12" s="188" t="str">
        <f t="shared" si="35"/>
        <v/>
      </c>
      <c r="BD12" s="301" t="s">
        <v>212</v>
      </c>
      <c r="BE12" s="100" t="s">
        <v>23</v>
      </c>
    </row>
    <row r="13" spans="1:57">
      <c r="B13" s="30">
        <v>7</v>
      </c>
      <c r="C13" s="38"/>
      <c r="D13" s="33"/>
      <c r="E13" s="130"/>
      <c r="F13" s="95"/>
      <c r="G13" s="126"/>
      <c r="H13" s="126"/>
      <c r="I13" s="126"/>
      <c r="J13" s="126"/>
      <c r="K13" s="126"/>
      <c r="L13" s="127"/>
      <c r="N13" s="186" t="str">
        <f t="shared" si="0"/>
        <v/>
      </c>
      <c r="O13" s="187" t="str">
        <f t="shared" si="1"/>
        <v/>
      </c>
      <c r="P13" s="187" t="str">
        <f t="shared" si="2"/>
        <v/>
      </c>
      <c r="Q13" s="187" t="str">
        <f t="shared" si="3"/>
        <v/>
      </c>
      <c r="R13" s="187" t="str">
        <f t="shared" si="4"/>
        <v/>
      </c>
      <c r="S13" s="188" t="str">
        <f t="shared" si="5"/>
        <v/>
      </c>
      <c r="U13" s="186" t="str">
        <f t="shared" si="6"/>
        <v/>
      </c>
      <c r="V13" s="187" t="str">
        <f t="shared" si="7"/>
        <v/>
      </c>
      <c r="W13" s="187" t="str">
        <f t="shared" si="8"/>
        <v/>
      </c>
      <c r="X13" s="187" t="str">
        <f t="shared" si="9"/>
        <v/>
      </c>
      <c r="Y13" s="187" t="str">
        <f t="shared" si="10"/>
        <v/>
      </c>
      <c r="Z13" s="188" t="str">
        <f t="shared" si="11"/>
        <v/>
      </c>
      <c r="AB13" s="186" t="str">
        <f t="shared" si="12"/>
        <v/>
      </c>
      <c r="AC13" s="187" t="str">
        <f t="shared" si="13"/>
        <v/>
      </c>
      <c r="AD13" s="187" t="str">
        <f t="shared" si="14"/>
        <v/>
      </c>
      <c r="AE13" s="187" t="str">
        <f t="shared" si="15"/>
        <v/>
      </c>
      <c r="AF13" s="187" t="str">
        <f t="shared" si="16"/>
        <v/>
      </c>
      <c r="AG13" s="188" t="str">
        <f t="shared" si="17"/>
        <v/>
      </c>
      <c r="AI13" s="186" t="str">
        <f t="shared" si="18"/>
        <v/>
      </c>
      <c r="AJ13" s="187" t="str">
        <f t="shared" si="19"/>
        <v/>
      </c>
      <c r="AK13" s="187" t="str">
        <f t="shared" si="20"/>
        <v/>
      </c>
      <c r="AL13" s="187" t="str">
        <f t="shared" si="21"/>
        <v/>
      </c>
      <c r="AM13" s="187" t="str">
        <f t="shared" si="22"/>
        <v/>
      </c>
      <c r="AN13" s="188" t="str">
        <f t="shared" si="23"/>
        <v/>
      </c>
      <c r="AP13" s="186" t="str">
        <f t="shared" si="24"/>
        <v/>
      </c>
      <c r="AQ13" s="187" t="str">
        <f t="shared" si="25"/>
        <v/>
      </c>
      <c r="AR13" s="187" t="str">
        <f t="shared" si="26"/>
        <v/>
      </c>
      <c r="AS13" s="187" t="str">
        <f t="shared" si="27"/>
        <v/>
      </c>
      <c r="AT13" s="187" t="str">
        <f t="shared" si="28"/>
        <v/>
      </c>
      <c r="AU13" s="188" t="str">
        <f t="shared" si="29"/>
        <v/>
      </c>
      <c r="AW13" s="186" t="str">
        <f t="shared" si="30"/>
        <v/>
      </c>
      <c r="AX13" s="187" t="str">
        <f t="shared" si="31"/>
        <v/>
      </c>
      <c r="AY13" s="187" t="str">
        <f t="shared" si="32"/>
        <v/>
      </c>
      <c r="AZ13" s="187" t="str">
        <f t="shared" si="33"/>
        <v/>
      </c>
      <c r="BA13" s="187" t="str">
        <f t="shared" si="34"/>
        <v/>
      </c>
      <c r="BB13" s="188" t="str">
        <f t="shared" si="35"/>
        <v/>
      </c>
      <c r="BD13" s="301" t="s">
        <v>906</v>
      </c>
      <c r="BE13" s="100" t="s">
        <v>24</v>
      </c>
    </row>
    <row r="14" spans="1:57" ht="14.25" thickBot="1">
      <c r="B14" s="31">
        <v>8</v>
      </c>
      <c r="C14" s="125"/>
      <c r="D14" s="34"/>
      <c r="E14" s="131"/>
      <c r="F14" s="96"/>
      <c r="G14" s="128"/>
      <c r="H14" s="128"/>
      <c r="I14" s="128"/>
      <c r="J14" s="128"/>
      <c r="K14" s="128"/>
      <c r="L14" s="129"/>
      <c r="N14" s="189" t="str">
        <f t="shared" si="0"/>
        <v/>
      </c>
      <c r="O14" s="190" t="str">
        <f t="shared" si="1"/>
        <v/>
      </c>
      <c r="P14" s="190" t="str">
        <f t="shared" si="2"/>
        <v/>
      </c>
      <c r="Q14" s="190" t="str">
        <f t="shared" si="3"/>
        <v/>
      </c>
      <c r="R14" s="190" t="str">
        <f t="shared" si="4"/>
        <v/>
      </c>
      <c r="S14" s="191" t="str">
        <f t="shared" si="5"/>
        <v/>
      </c>
      <c r="U14" s="189" t="str">
        <f t="shared" si="6"/>
        <v/>
      </c>
      <c r="V14" s="190" t="str">
        <f t="shared" si="7"/>
        <v/>
      </c>
      <c r="W14" s="190" t="str">
        <f t="shared" si="8"/>
        <v/>
      </c>
      <c r="X14" s="190" t="str">
        <f t="shared" si="9"/>
        <v/>
      </c>
      <c r="Y14" s="190" t="str">
        <f t="shared" si="10"/>
        <v/>
      </c>
      <c r="Z14" s="191" t="str">
        <f t="shared" si="11"/>
        <v/>
      </c>
      <c r="AB14" s="189" t="str">
        <f t="shared" si="12"/>
        <v/>
      </c>
      <c r="AC14" s="190" t="str">
        <f t="shared" si="13"/>
        <v/>
      </c>
      <c r="AD14" s="190" t="str">
        <f t="shared" si="14"/>
        <v/>
      </c>
      <c r="AE14" s="190" t="str">
        <f t="shared" si="15"/>
        <v/>
      </c>
      <c r="AF14" s="190" t="str">
        <f t="shared" si="16"/>
        <v/>
      </c>
      <c r="AG14" s="191" t="str">
        <f t="shared" si="17"/>
        <v/>
      </c>
      <c r="AI14" s="189" t="str">
        <f t="shared" si="18"/>
        <v/>
      </c>
      <c r="AJ14" s="190" t="str">
        <f t="shared" si="19"/>
        <v/>
      </c>
      <c r="AK14" s="190" t="str">
        <f t="shared" si="20"/>
        <v/>
      </c>
      <c r="AL14" s="190" t="str">
        <f t="shared" si="21"/>
        <v/>
      </c>
      <c r="AM14" s="190" t="str">
        <f t="shared" si="22"/>
        <v/>
      </c>
      <c r="AN14" s="191" t="str">
        <f t="shared" si="23"/>
        <v/>
      </c>
      <c r="AP14" s="189" t="str">
        <f t="shared" si="24"/>
        <v/>
      </c>
      <c r="AQ14" s="190" t="str">
        <f t="shared" si="25"/>
        <v/>
      </c>
      <c r="AR14" s="190" t="str">
        <f t="shared" si="26"/>
        <v/>
      </c>
      <c r="AS14" s="190" t="str">
        <f t="shared" si="27"/>
        <v/>
      </c>
      <c r="AT14" s="190" t="str">
        <f t="shared" si="28"/>
        <v/>
      </c>
      <c r="AU14" s="191" t="str">
        <f t="shared" si="29"/>
        <v/>
      </c>
      <c r="AW14" s="189" t="str">
        <f t="shared" si="30"/>
        <v/>
      </c>
      <c r="AX14" s="190" t="str">
        <f t="shared" si="31"/>
        <v/>
      </c>
      <c r="AY14" s="190" t="str">
        <f t="shared" si="32"/>
        <v/>
      </c>
      <c r="AZ14" s="190" t="str">
        <f t="shared" si="33"/>
        <v/>
      </c>
      <c r="BA14" s="190" t="str">
        <f t="shared" si="34"/>
        <v/>
      </c>
      <c r="BB14" s="191" t="str">
        <f t="shared" si="35"/>
        <v/>
      </c>
      <c r="BD14" s="301" t="s">
        <v>139</v>
      </c>
      <c r="BE14" s="100" t="s">
        <v>25</v>
      </c>
    </row>
    <row r="15" spans="1:57">
      <c r="E15" t="s">
        <v>765</v>
      </c>
      <c r="BD15" s="301" t="s">
        <v>216</v>
      </c>
      <c r="BE15" s="100" t="s">
        <v>26</v>
      </c>
    </row>
    <row r="16" spans="1:57">
      <c r="BD16" s="301" t="s">
        <v>138</v>
      </c>
      <c r="BE16" s="100" t="s">
        <v>326</v>
      </c>
    </row>
    <row r="17" spans="5:57">
      <c r="BD17" s="301" t="s">
        <v>99</v>
      </c>
      <c r="BE17" s="100" t="s">
        <v>29</v>
      </c>
    </row>
    <row r="18" spans="5:57">
      <c r="BD18" s="301" t="s">
        <v>101</v>
      </c>
      <c r="BE18" s="100" t="s">
        <v>30</v>
      </c>
    </row>
    <row r="19" spans="5:57">
      <c r="BD19" s="301" t="s">
        <v>174</v>
      </c>
      <c r="BE19" s="100" t="s">
        <v>31</v>
      </c>
    </row>
    <row r="20" spans="5:57">
      <c r="BD20" s="301" t="s">
        <v>126</v>
      </c>
      <c r="BE20" s="100" t="s">
        <v>32</v>
      </c>
    </row>
    <row r="21" spans="5:57">
      <c r="BD21" s="301" t="s">
        <v>914</v>
      </c>
      <c r="BE21" s="100" t="s">
        <v>33</v>
      </c>
    </row>
    <row r="22" spans="5:57">
      <c r="BD22" s="301" t="s">
        <v>236</v>
      </c>
      <c r="BE22" s="100" t="s">
        <v>34</v>
      </c>
    </row>
    <row r="23" spans="5:57">
      <c r="BD23" s="301" t="s">
        <v>811</v>
      </c>
      <c r="BE23" s="100" t="s">
        <v>35</v>
      </c>
    </row>
    <row r="24" spans="5:57">
      <c r="BD24" s="301" t="s">
        <v>97</v>
      </c>
      <c r="BE24" s="100" t="s">
        <v>36</v>
      </c>
    </row>
    <row r="25" spans="5:57">
      <c r="L25" s="148"/>
      <c r="BD25" s="301" t="s">
        <v>107</v>
      </c>
      <c r="BE25" s="100" t="s">
        <v>37</v>
      </c>
    </row>
    <row r="26" spans="5:57">
      <c r="BD26" s="301" t="s">
        <v>233</v>
      </c>
      <c r="BE26" s="100" t="s">
        <v>38</v>
      </c>
    </row>
    <row r="27" spans="5:57">
      <c r="BD27" s="301" t="s">
        <v>251</v>
      </c>
      <c r="BE27" s="100" t="s">
        <v>40</v>
      </c>
    </row>
    <row r="28" spans="5:57">
      <c r="G28" s="148"/>
      <c r="BD28" s="301" t="s">
        <v>189</v>
      </c>
      <c r="BE28" s="100" t="s">
        <v>39</v>
      </c>
    </row>
    <row r="29" spans="5:57">
      <c r="BD29" s="301" t="s">
        <v>157</v>
      </c>
      <c r="BE29" s="100" t="s">
        <v>42</v>
      </c>
    </row>
    <row r="30" spans="5:57">
      <c r="E30" s="148"/>
      <c r="BD30" s="301" t="s">
        <v>916</v>
      </c>
      <c r="BE30" s="100" t="s">
        <v>44</v>
      </c>
    </row>
    <row r="31" spans="5:57">
      <c r="K31" s="148"/>
      <c r="BD31" s="301" t="s">
        <v>149</v>
      </c>
      <c r="BE31" s="100" t="s">
        <v>45</v>
      </c>
    </row>
    <row r="32" spans="5:57">
      <c r="BD32" s="301" t="s">
        <v>245</v>
      </c>
      <c r="BE32" s="100" t="s">
        <v>46</v>
      </c>
    </row>
    <row r="33" spans="56:57">
      <c r="BD33" s="301" t="s">
        <v>110</v>
      </c>
      <c r="BE33" s="100" t="s">
        <v>47</v>
      </c>
    </row>
    <row r="34" spans="56:57">
      <c r="BD34" s="301" t="s">
        <v>935</v>
      </c>
      <c r="BE34" s="100" t="s">
        <v>48</v>
      </c>
    </row>
    <row r="35" spans="56:57">
      <c r="BD35" s="301" t="s">
        <v>939</v>
      </c>
      <c r="BE35" s="100" t="s">
        <v>50</v>
      </c>
    </row>
    <row r="36" spans="56:57">
      <c r="BD36" s="301" t="s">
        <v>809</v>
      </c>
      <c r="BE36" s="100" t="s">
        <v>51</v>
      </c>
    </row>
    <row r="37" spans="56:57">
      <c r="BD37" s="301" t="s">
        <v>214</v>
      </c>
      <c r="BE37" s="100" t="s">
        <v>52</v>
      </c>
    </row>
    <row r="38" spans="56:57">
      <c r="BD38" s="301" t="s">
        <v>163</v>
      </c>
      <c r="BE38" s="100" t="s">
        <v>53</v>
      </c>
    </row>
    <row r="39" spans="56:57">
      <c r="BD39" s="301" t="s">
        <v>100</v>
      </c>
      <c r="BE39" s="100" t="s">
        <v>54</v>
      </c>
    </row>
    <row r="40" spans="56:57">
      <c r="BD40" s="301" t="s">
        <v>922</v>
      </c>
      <c r="BE40" s="100" t="s">
        <v>56</v>
      </c>
    </row>
    <row r="41" spans="56:57">
      <c r="BD41" s="301" t="s">
        <v>218</v>
      </c>
      <c r="BE41" s="100" t="s">
        <v>57</v>
      </c>
    </row>
    <row r="42" spans="56:57">
      <c r="BD42" s="301" t="s">
        <v>169</v>
      </c>
      <c r="BE42" s="100" t="s">
        <v>58</v>
      </c>
    </row>
    <row r="43" spans="56:57">
      <c r="BD43" s="301" t="s">
        <v>181</v>
      </c>
      <c r="BE43" s="100" t="s">
        <v>59</v>
      </c>
    </row>
    <row r="44" spans="56:57">
      <c r="BD44" s="301" t="s">
        <v>153</v>
      </c>
      <c r="BE44" s="100" t="s">
        <v>61</v>
      </c>
    </row>
    <row r="45" spans="56:57">
      <c r="BD45" s="301" t="s">
        <v>184</v>
      </c>
      <c r="BE45" s="100" t="s">
        <v>63</v>
      </c>
    </row>
    <row r="46" spans="56:57">
      <c r="BD46" s="301" t="s">
        <v>142</v>
      </c>
      <c r="BE46" s="100" t="s">
        <v>41</v>
      </c>
    </row>
    <row r="47" spans="56:57">
      <c r="BD47" s="301" t="s">
        <v>162</v>
      </c>
      <c r="BE47" s="100" t="s">
        <v>43</v>
      </c>
    </row>
    <row r="48" spans="56:57">
      <c r="BD48" s="301" t="s">
        <v>247</v>
      </c>
      <c r="BE48" s="100" t="s">
        <v>60</v>
      </c>
    </row>
    <row r="49" spans="56:57">
      <c r="BD49" s="301" t="s">
        <v>123</v>
      </c>
      <c r="BE49" s="100" t="s">
        <v>62</v>
      </c>
    </row>
    <row r="50" spans="56:57">
      <c r="BD50" s="301" t="s">
        <v>192</v>
      </c>
    </row>
    <row r="51" spans="56:57">
      <c r="BD51" s="301" t="s">
        <v>78</v>
      </c>
    </row>
    <row r="52" spans="56:57">
      <c r="BD52" s="301" t="s">
        <v>209</v>
      </c>
    </row>
    <row r="53" spans="56:57">
      <c r="BD53" s="301" t="s">
        <v>219</v>
      </c>
    </row>
    <row r="54" spans="56:57">
      <c r="BD54" s="301" t="s">
        <v>238</v>
      </c>
    </row>
    <row r="55" spans="56:57">
      <c r="BD55" s="301" t="s">
        <v>910</v>
      </c>
    </row>
    <row r="56" spans="56:57">
      <c r="BD56" s="301" t="s">
        <v>82</v>
      </c>
    </row>
    <row r="57" spans="56:57">
      <c r="BD57" s="301" t="s">
        <v>933</v>
      </c>
    </row>
    <row r="58" spans="56:57">
      <c r="BD58" s="301" t="s">
        <v>230</v>
      </c>
    </row>
    <row r="59" spans="56:57">
      <c r="BD59" s="301" t="s">
        <v>137</v>
      </c>
    </row>
    <row r="60" spans="56:57">
      <c r="BD60" s="301" t="s">
        <v>239</v>
      </c>
    </row>
    <row r="61" spans="56:57">
      <c r="BD61" s="301" t="s">
        <v>115</v>
      </c>
    </row>
    <row r="62" spans="56:57">
      <c r="BD62" s="301" t="s">
        <v>146</v>
      </c>
    </row>
    <row r="63" spans="56:57">
      <c r="BD63" s="301" t="s">
        <v>121</v>
      </c>
    </row>
    <row r="64" spans="56:57">
      <c r="BD64" s="301" t="s">
        <v>125</v>
      </c>
    </row>
    <row r="65" spans="56:56">
      <c r="BD65" s="301" t="s">
        <v>124</v>
      </c>
    </row>
    <row r="66" spans="56:56">
      <c r="BD66" s="301" t="s">
        <v>194</v>
      </c>
    </row>
    <row r="67" spans="56:56">
      <c r="BD67" s="301" t="s">
        <v>925</v>
      </c>
    </row>
    <row r="68" spans="56:56">
      <c r="BD68" s="301" t="s">
        <v>228</v>
      </c>
    </row>
    <row r="69" spans="56:56">
      <c r="BD69" s="301" t="s">
        <v>226</v>
      </c>
    </row>
    <row r="70" spans="56:56">
      <c r="BD70" s="301" t="s">
        <v>202</v>
      </c>
    </row>
    <row r="71" spans="56:56">
      <c r="BD71" s="301" t="s">
        <v>179</v>
      </c>
    </row>
    <row r="72" spans="56:56">
      <c r="BD72" s="301" t="s">
        <v>141</v>
      </c>
    </row>
    <row r="73" spans="56:56">
      <c r="BD73" s="301" t="s">
        <v>180</v>
      </c>
    </row>
    <row r="74" spans="56:56">
      <c r="BD74" s="301" t="s">
        <v>900</v>
      </c>
    </row>
    <row r="75" spans="56:56">
      <c r="BD75" s="301" t="s">
        <v>211</v>
      </c>
    </row>
    <row r="76" spans="56:56">
      <c r="BD76" s="301" t="s">
        <v>186</v>
      </c>
    </row>
    <row r="77" spans="56:56">
      <c r="BD77" s="301" t="s">
        <v>93</v>
      </c>
    </row>
    <row r="78" spans="56:56">
      <c r="BD78" s="301" t="s">
        <v>152</v>
      </c>
    </row>
    <row r="79" spans="56:56">
      <c r="BD79" s="301" t="s">
        <v>106</v>
      </c>
    </row>
    <row r="80" spans="56:56">
      <c r="BD80" s="301" t="s">
        <v>896</v>
      </c>
    </row>
    <row r="81" spans="56:56">
      <c r="BD81" s="301" t="s">
        <v>96</v>
      </c>
    </row>
    <row r="82" spans="56:56">
      <c r="BD82" s="301" t="s">
        <v>825</v>
      </c>
    </row>
    <row r="83" spans="56:56">
      <c r="BD83" s="301" t="s">
        <v>234</v>
      </c>
    </row>
    <row r="84" spans="56:56">
      <c r="BD84" s="301" t="s">
        <v>256</v>
      </c>
    </row>
    <row r="85" spans="56:56">
      <c r="BD85" s="301" t="s">
        <v>88</v>
      </c>
    </row>
    <row r="86" spans="56:56">
      <c r="BD86" s="301" t="s">
        <v>937</v>
      </c>
    </row>
    <row r="87" spans="56:56">
      <c r="BD87" s="301" t="s">
        <v>813</v>
      </c>
    </row>
    <row r="88" spans="56:56">
      <c r="BD88" s="301" t="s">
        <v>165</v>
      </c>
    </row>
    <row r="89" spans="56:56">
      <c r="BD89" s="301" t="s">
        <v>826</v>
      </c>
    </row>
    <row r="90" spans="56:56">
      <c r="BD90" s="301" t="s">
        <v>904</v>
      </c>
    </row>
    <row r="91" spans="56:56">
      <c r="BD91" s="301" t="s">
        <v>118</v>
      </c>
    </row>
    <row r="92" spans="56:56">
      <c r="BD92" s="301" t="s">
        <v>927</v>
      </c>
    </row>
    <row r="93" spans="56:56">
      <c r="BD93" s="301" t="s">
        <v>176</v>
      </c>
    </row>
    <row r="94" spans="56:56">
      <c r="BD94" s="301" t="s">
        <v>810</v>
      </c>
    </row>
    <row r="95" spans="56:56">
      <c r="BD95" s="301" t="s">
        <v>217</v>
      </c>
    </row>
    <row r="96" spans="56:56">
      <c r="BD96" s="301" t="s">
        <v>172</v>
      </c>
    </row>
    <row r="97" spans="56:56">
      <c r="BD97" s="301" t="s">
        <v>167</v>
      </c>
    </row>
    <row r="98" spans="56:56">
      <c r="BD98" s="301" t="s">
        <v>210</v>
      </c>
    </row>
    <row r="99" spans="56:56">
      <c r="BD99" s="301" t="s">
        <v>91</v>
      </c>
    </row>
    <row r="100" spans="56:56">
      <c r="BD100" s="301" t="s">
        <v>225</v>
      </c>
    </row>
    <row r="101" spans="56:56">
      <c r="BD101" s="301" t="s">
        <v>154</v>
      </c>
    </row>
    <row r="102" spans="56:56">
      <c r="BD102" s="301" t="s">
        <v>156</v>
      </c>
    </row>
    <row r="103" spans="56:56">
      <c r="BD103" s="301" t="s">
        <v>206</v>
      </c>
    </row>
    <row r="104" spans="56:56">
      <c r="BD104" s="301" t="s">
        <v>187</v>
      </c>
    </row>
    <row r="105" spans="56:56">
      <c r="BD105" s="301" t="s">
        <v>83</v>
      </c>
    </row>
    <row r="106" spans="56:56">
      <c r="BD106" s="301" t="s">
        <v>254</v>
      </c>
    </row>
    <row r="107" spans="56:56">
      <c r="BD107" s="301" t="s">
        <v>248</v>
      </c>
    </row>
    <row r="108" spans="56:56">
      <c r="BD108" s="301" t="s">
        <v>94</v>
      </c>
    </row>
    <row r="109" spans="56:56">
      <c r="BD109" s="301" t="s">
        <v>198</v>
      </c>
    </row>
    <row r="110" spans="56:56">
      <c r="BD110" s="301" t="s">
        <v>128</v>
      </c>
    </row>
    <row r="111" spans="56:56">
      <c r="BD111" s="301" t="s">
        <v>147</v>
      </c>
    </row>
    <row r="112" spans="56:56">
      <c r="BD112" s="301" t="s">
        <v>898</v>
      </c>
    </row>
    <row r="113" spans="56:56">
      <c r="BD113" s="301" t="s">
        <v>240</v>
      </c>
    </row>
    <row r="114" spans="56:56">
      <c r="BD114" s="301" t="s">
        <v>203</v>
      </c>
    </row>
    <row r="115" spans="56:56">
      <c r="BD115" s="301" t="s">
        <v>159</v>
      </c>
    </row>
    <row r="116" spans="56:56">
      <c r="BD116" s="301" t="s">
        <v>119</v>
      </c>
    </row>
    <row r="117" spans="56:56">
      <c r="BD117" s="301" t="s">
        <v>232</v>
      </c>
    </row>
    <row r="118" spans="56:56">
      <c r="BD118" s="301" t="s">
        <v>188</v>
      </c>
    </row>
    <row r="119" spans="56:56">
      <c r="BD119" s="301" t="s">
        <v>929</v>
      </c>
    </row>
    <row r="120" spans="56:56">
      <c r="BD120" s="301" t="s">
        <v>931</v>
      </c>
    </row>
    <row r="121" spans="56:56">
      <c r="BD121" s="301" t="s">
        <v>244</v>
      </c>
    </row>
    <row r="122" spans="56:56">
      <c r="BD122" s="301" t="s">
        <v>103</v>
      </c>
    </row>
    <row r="123" spans="56:56">
      <c r="BD123" s="301" t="s">
        <v>808</v>
      </c>
    </row>
    <row r="124" spans="56:56">
      <c r="BD124" s="301" t="s">
        <v>109</v>
      </c>
    </row>
    <row r="125" spans="56:56">
      <c r="BD125" s="301" t="s">
        <v>242</v>
      </c>
    </row>
    <row r="126" spans="56:56">
      <c r="BD126" s="301" t="s">
        <v>920</v>
      </c>
    </row>
    <row r="127" spans="56:56">
      <c r="BD127" s="301" t="s">
        <v>191</v>
      </c>
    </row>
    <row r="128" spans="56:56">
      <c r="BD128" s="301" t="s">
        <v>797</v>
      </c>
    </row>
    <row r="129" spans="56:56">
      <c r="BD129" s="301" t="s">
        <v>792</v>
      </c>
    </row>
    <row r="130" spans="56:56">
      <c r="BD130" s="301" t="s">
        <v>795</v>
      </c>
    </row>
    <row r="131" spans="56:56">
      <c r="BD131" s="301" t="s">
        <v>807</v>
      </c>
    </row>
    <row r="132" spans="56:56">
      <c r="BD132" s="301" t="s">
        <v>801</v>
      </c>
    </row>
    <row r="133" spans="56:56">
      <c r="BD133" s="301" t="s">
        <v>800</v>
      </c>
    </row>
    <row r="134" spans="56:56">
      <c r="BD134" s="301" t="s">
        <v>805</v>
      </c>
    </row>
    <row r="135" spans="56:56">
      <c r="BD135" s="301" t="s">
        <v>791</v>
      </c>
    </row>
    <row r="136" spans="56:56">
      <c r="BD136" s="301" t="s">
        <v>783</v>
      </c>
    </row>
    <row r="137" spans="56:56">
      <c r="BD137" s="301" t="s">
        <v>787</v>
      </c>
    </row>
    <row r="138" spans="56:56">
      <c r="BD138" s="301" t="s">
        <v>786</v>
      </c>
    </row>
    <row r="139" spans="56:56">
      <c r="BD139" s="301" t="s">
        <v>785</v>
      </c>
    </row>
    <row r="140" spans="56:56">
      <c r="BD140" s="301" t="s">
        <v>806</v>
      </c>
    </row>
    <row r="141" spans="56:56">
      <c r="BD141" s="301" t="s">
        <v>812</v>
      </c>
    </row>
    <row r="142" spans="56:56">
      <c r="BD142" s="301" t="s">
        <v>804</v>
      </c>
    </row>
    <row r="143" spans="56:56">
      <c r="BD143" s="301" t="s">
        <v>802</v>
      </c>
    </row>
    <row r="144" spans="56:56">
      <c r="BD144" s="301" t="s">
        <v>790</v>
      </c>
    </row>
    <row r="145" spans="56:56">
      <c r="BD145" s="301" t="s">
        <v>789</v>
      </c>
    </row>
    <row r="146" spans="56:56">
      <c r="BD146" s="301" t="s">
        <v>799</v>
      </c>
    </row>
    <row r="147" spans="56:56">
      <c r="BD147" s="301" t="s">
        <v>793</v>
      </c>
    </row>
    <row r="148" spans="56:56">
      <c r="BD148" s="301" t="s">
        <v>784</v>
      </c>
    </row>
    <row r="149" spans="56:56">
      <c r="BD149" s="301" t="s">
        <v>788</v>
      </c>
    </row>
    <row r="150" spans="56:56">
      <c r="BD150" s="301" t="s">
        <v>796</v>
      </c>
    </row>
    <row r="151" spans="56:56">
      <c r="BD151" s="301" t="s">
        <v>794</v>
      </c>
    </row>
    <row r="152" spans="56:56">
      <c r="BD152" s="301" t="s">
        <v>803</v>
      </c>
    </row>
    <row r="153" spans="56:56">
      <c r="BD153" s="301" t="s">
        <v>798</v>
      </c>
    </row>
    <row r="154" spans="56:56">
      <c r="BD154" s="301" t="s">
        <v>223</v>
      </c>
    </row>
    <row r="155" spans="56:56">
      <c r="BD155" s="301" t="s">
        <v>208</v>
      </c>
    </row>
    <row r="156" spans="56:56">
      <c r="BD156" s="301" t="s">
        <v>178</v>
      </c>
    </row>
    <row r="157" spans="56:56">
      <c r="BD157" s="301" t="s">
        <v>108</v>
      </c>
    </row>
    <row r="158" spans="56:56">
      <c r="BD158" s="301" t="s">
        <v>221</v>
      </c>
    </row>
    <row r="159" spans="56:56">
      <c r="BD159" s="301" t="s">
        <v>151</v>
      </c>
    </row>
    <row r="160" spans="56:56">
      <c r="BD160" s="301" t="s">
        <v>168</v>
      </c>
    </row>
    <row r="161" spans="56:56">
      <c r="BD161" s="301" t="s">
        <v>196</v>
      </c>
    </row>
    <row r="162" spans="56:56">
      <c r="BD162" s="301" t="s">
        <v>193</v>
      </c>
    </row>
    <row r="163" spans="56:56">
      <c r="BD163" s="301" t="s">
        <v>185</v>
      </c>
    </row>
    <row r="164" spans="56:56">
      <c r="BD164" s="301" t="s">
        <v>98</v>
      </c>
    </row>
    <row r="165" spans="56:56">
      <c r="BD165" s="301" t="s">
        <v>902</v>
      </c>
    </row>
    <row r="166" spans="56:56">
      <c r="BD166" s="301" t="s">
        <v>75</v>
      </c>
    </row>
    <row r="167" spans="56:56">
      <c r="BD167" s="301" t="s">
        <v>161</v>
      </c>
    </row>
    <row r="168" spans="56:56">
      <c r="BD168" s="301" t="s">
        <v>129</v>
      </c>
    </row>
    <row r="169" spans="56:56">
      <c r="BD169" s="301" t="s">
        <v>182</v>
      </c>
    </row>
    <row r="170" spans="56:56">
      <c r="BD170" s="301" t="s">
        <v>252</v>
      </c>
    </row>
    <row r="171" spans="56:56">
      <c r="BD171" s="301" t="s">
        <v>170</v>
      </c>
    </row>
    <row r="172" spans="56:56">
      <c r="BD172" s="301" t="s">
        <v>130</v>
      </c>
    </row>
    <row r="173" spans="56:56">
      <c r="BD173" s="301" t="s">
        <v>253</v>
      </c>
    </row>
    <row r="174" spans="56:56">
      <c r="BD174" s="301" t="s">
        <v>908</v>
      </c>
    </row>
    <row r="175" spans="56:56">
      <c r="BD175" s="301" t="s">
        <v>135</v>
      </c>
    </row>
    <row r="176" spans="56:56">
      <c r="BD176" s="301" t="s">
        <v>246</v>
      </c>
    </row>
    <row r="177" spans="56:56">
      <c r="BD177" s="301" t="s">
        <v>143</v>
      </c>
    </row>
    <row r="178" spans="56:56">
      <c r="BD178" s="301" t="s">
        <v>249</v>
      </c>
    </row>
  </sheetData>
  <sortState ref="BD1:BD199">
    <sortCondition ref="BD1"/>
  </sortState>
  <mergeCells count="7">
    <mergeCell ref="AW5:BB5"/>
    <mergeCell ref="E5:L5"/>
    <mergeCell ref="U5:Z5"/>
    <mergeCell ref="AB5:AG5"/>
    <mergeCell ref="AI5:AN5"/>
    <mergeCell ref="AP5:AU5"/>
    <mergeCell ref="N5:S5"/>
  </mergeCells>
  <phoneticPr fontId="3"/>
  <conditionalFormatting sqref="E7">
    <cfRule type="expression" dxfId="257" priority="55">
      <formula>$E7="E"</formula>
    </cfRule>
    <cfRule type="expression" dxfId="256" priority="56">
      <formula>$E7="F"</formula>
    </cfRule>
  </conditionalFormatting>
  <conditionalFormatting sqref="E7">
    <cfRule type="expression" dxfId="255" priority="50">
      <formula>$E7="S"</formula>
    </cfRule>
    <cfRule type="expression" dxfId="254" priority="51">
      <formula>$E7="A"</formula>
    </cfRule>
    <cfRule type="expression" dxfId="253" priority="52">
      <formula>$E7="B"</formula>
    </cfRule>
    <cfRule type="expression" dxfId="252" priority="53">
      <formula>$E7="C"</formula>
    </cfRule>
    <cfRule type="expression" dxfId="251" priority="54">
      <formula>$E7="D"</formula>
    </cfRule>
  </conditionalFormatting>
  <conditionalFormatting sqref="E8">
    <cfRule type="expression" dxfId="250" priority="48">
      <formula>$E8="E"</formula>
    </cfRule>
    <cfRule type="expression" dxfId="249" priority="49">
      <formula>$E8="F"</formula>
    </cfRule>
  </conditionalFormatting>
  <conditionalFormatting sqref="E8">
    <cfRule type="expression" dxfId="248" priority="43">
      <formula>$E8="S"</formula>
    </cfRule>
    <cfRule type="expression" dxfId="247" priority="44">
      <formula>$E8="A"</formula>
    </cfRule>
    <cfRule type="expression" dxfId="246" priority="45">
      <formula>$E8="B"</formula>
    </cfRule>
    <cfRule type="expression" dxfId="245" priority="46">
      <formula>$E8="C"</formula>
    </cfRule>
    <cfRule type="expression" dxfId="244" priority="47">
      <formula>$E8="D"</formula>
    </cfRule>
  </conditionalFormatting>
  <conditionalFormatting sqref="E9">
    <cfRule type="expression" dxfId="243" priority="41">
      <formula>$E9="E"</formula>
    </cfRule>
    <cfRule type="expression" dxfId="242" priority="42">
      <formula>$E9="F"</formula>
    </cfRule>
  </conditionalFormatting>
  <conditionalFormatting sqref="E9">
    <cfRule type="expression" dxfId="241" priority="36">
      <formula>$E9="S"</formula>
    </cfRule>
    <cfRule type="expression" dxfId="240" priority="37">
      <formula>$E9="A"</formula>
    </cfRule>
    <cfRule type="expression" dxfId="239" priority="38">
      <formula>$E9="B"</formula>
    </cfRule>
    <cfRule type="expression" dxfId="238" priority="39">
      <formula>$E9="C"</formula>
    </cfRule>
    <cfRule type="expression" dxfId="237" priority="40">
      <formula>$E9="D"</formula>
    </cfRule>
  </conditionalFormatting>
  <conditionalFormatting sqref="E10">
    <cfRule type="expression" dxfId="236" priority="34">
      <formula>$E10="E"</formula>
    </cfRule>
    <cfRule type="expression" dxfId="235" priority="35">
      <formula>$E10="F"</formula>
    </cfRule>
  </conditionalFormatting>
  <conditionalFormatting sqref="E10">
    <cfRule type="expression" dxfId="234" priority="29">
      <formula>$E10="S"</formula>
    </cfRule>
    <cfRule type="expression" dxfId="233" priority="30">
      <formula>$E10="A"</formula>
    </cfRule>
    <cfRule type="expression" dxfId="232" priority="31">
      <formula>$E10="B"</formula>
    </cfRule>
    <cfRule type="expression" dxfId="231" priority="32">
      <formula>$E10="C"</formula>
    </cfRule>
    <cfRule type="expression" dxfId="230" priority="33">
      <formula>$E10="D"</formula>
    </cfRule>
  </conditionalFormatting>
  <conditionalFormatting sqref="E11">
    <cfRule type="expression" dxfId="229" priority="27">
      <formula>$E11="E"</formula>
    </cfRule>
    <cfRule type="expression" dxfId="228" priority="28">
      <formula>$E11="F"</formula>
    </cfRule>
  </conditionalFormatting>
  <conditionalFormatting sqref="E11">
    <cfRule type="expression" dxfId="227" priority="22">
      <formula>$E11="S"</formula>
    </cfRule>
    <cfRule type="expression" dxfId="226" priority="23">
      <formula>$E11="A"</formula>
    </cfRule>
    <cfRule type="expression" dxfId="225" priority="24">
      <formula>$E11="B"</formula>
    </cfRule>
    <cfRule type="expression" dxfId="224" priority="25">
      <formula>$E11="C"</formula>
    </cfRule>
    <cfRule type="expression" dxfId="223" priority="26">
      <formula>$E11="D"</formula>
    </cfRule>
  </conditionalFormatting>
  <conditionalFormatting sqref="E12">
    <cfRule type="expression" dxfId="222" priority="20">
      <formula>$E12="E"</formula>
    </cfRule>
    <cfRule type="expression" dxfId="221" priority="21">
      <formula>$E12="F"</formula>
    </cfRule>
  </conditionalFormatting>
  <conditionalFormatting sqref="E12">
    <cfRule type="expression" dxfId="220" priority="15">
      <formula>$E12="S"</formula>
    </cfRule>
    <cfRule type="expression" dxfId="219" priority="16">
      <formula>$E12="A"</formula>
    </cfRule>
    <cfRule type="expression" dxfId="218" priority="17">
      <formula>$E12="B"</formula>
    </cfRule>
    <cfRule type="expression" dxfId="217" priority="18">
      <formula>$E12="C"</formula>
    </cfRule>
    <cfRule type="expression" dxfId="216" priority="19">
      <formula>$E12="D"</formula>
    </cfRule>
  </conditionalFormatting>
  <conditionalFormatting sqref="E13">
    <cfRule type="expression" dxfId="215" priority="13">
      <formula>$E13="E"</formula>
    </cfRule>
    <cfRule type="expression" dxfId="214" priority="14">
      <formula>$E13="F"</formula>
    </cfRule>
  </conditionalFormatting>
  <conditionalFormatting sqref="E13">
    <cfRule type="expression" dxfId="213" priority="8">
      <formula>$E13="S"</formula>
    </cfRule>
    <cfRule type="expression" dxfId="212" priority="9">
      <formula>$E13="A"</formula>
    </cfRule>
    <cfRule type="expression" dxfId="211" priority="10">
      <formula>$E13="B"</formula>
    </cfRule>
    <cfRule type="expression" dxfId="210" priority="11">
      <formula>$E13="C"</formula>
    </cfRule>
    <cfRule type="expression" dxfId="209" priority="12">
      <formula>$E13="D"</formula>
    </cfRule>
  </conditionalFormatting>
  <conditionalFormatting sqref="E14">
    <cfRule type="expression" dxfId="208" priority="6">
      <formula>$E14="E"</formula>
    </cfRule>
    <cfRule type="expression" dxfId="207" priority="7">
      <formula>$E14="F"</formula>
    </cfRule>
  </conditionalFormatting>
  <conditionalFormatting sqref="E14">
    <cfRule type="expression" dxfId="206" priority="1">
      <formula>$E14="S"</formula>
    </cfRule>
    <cfRule type="expression" dxfId="205" priority="2">
      <formula>$E14="A"</formula>
    </cfRule>
    <cfRule type="expression" dxfId="204" priority="3">
      <formula>$E14="B"</formula>
    </cfRule>
    <cfRule type="expression" dxfId="203" priority="4">
      <formula>$E14="C"</formula>
    </cfRule>
    <cfRule type="expression" dxfId="202" priority="5">
      <formula>$E14="D"</formula>
    </cfRule>
  </conditionalFormatting>
  <dataValidations count="3">
    <dataValidation type="list" allowBlank="1" showInputMessage="1" showErrorMessage="1" sqref="D7:D14">
      <formula1>$BE$5:$BE$49</formula1>
    </dataValidation>
    <dataValidation type="list" allowBlank="1" showInputMessage="1" showErrorMessage="1" sqref="E7:E14">
      <formula1>"F,E,D,C,B,A,S"</formula1>
    </dataValidation>
    <dataValidation type="list" allowBlank="1" showInputMessage="1" showErrorMessage="1" sqref="C7:C14">
      <formula1>$BD$1:$BD$233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06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/>
  <cols>
    <col min="1" max="1" width="2" style="148" customWidth="1"/>
    <col min="2" max="2" width="18.625" style="148" customWidth="1"/>
    <col min="3" max="8" width="4.625" style="148" customWidth="1"/>
    <col min="9" max="9" width="6.125" style="148" customWidth="1"/>
    <col min="10" max="10" width="2.625" style="29" customWidth="1"/>
    <col min="11" max="11" width="18.625" style="148" customWidth="1"/>
    <col min="12" max="17" width="4.625" style="148" customWidth="1"/>
    <col min="18" max="18" width="6.125" style="148" customWidth="1"/>
    <col min="19" max="19" width="2.625" style="148" customWidth="1"/>
    <col min="20" max="20" width="18.625" style="148" customWidth="1"/>
    <col min="21" max="26" width="4.625" style="148" customWidth="1"/>
    <col min="27" max="27" width="6.125" style="148" customWidth="1"/>
    <col min="28" max="28" width="3.125" style="148" customWidth="1"/>
    <col min="29" max="29" width="8.625" style="152" customWidth="1"/>
    <col min="30" max="30" width="9" style="235"/>
    <col min="31" max="16384" width="9" style="148"/>
  </cols>
  <sheetData>
    <row r="1" spans="1:30" ht="18.75">
      <c r="A1" s="26" t="s">
        <v>943</v>
      </c>
    </row>
    <row r="2" spans="1:30" ht="12" customHeight="1" thickBot="1">
      <c r="A2" s="26"/>
    </row>
    <row r="3" spans="1:30" ht="12" customHeight="1" thickBot="1">
      <c r="A3" s="26"/>
      <c r="B3" s="184" t="s">
        <v>823</v>
      </c>
      <c r="C3" s="286" t="s">
        <v>858</v>
      </c>
      <c r="D3" s="287"/>
      <c r="E3" s="287"/>
      <c r="F3" s="287"/>
      <c r="G3" s="288"/>
      <c r="K3" s="184" t="s">
        <v>823</v>
      </c>
      <c r="L3" s="286" t="s">
        <v>862</v>
      </c>
      <c r="M3" s="287"/>
      <c r="N3" s="287"/>
      <c r="O3" s="287"/>
      <c r="P3" s="288"/>
      <c r="T3" s="184" t="s">
        <v>823</v>
      </c>
      <c r="U3" s="286" t="s">
        <v>858</v>
      </c>
      <c r="V3" s="287"/>
      <c r="W3" s="287"/>
      <c r="X3" s="287"/>
      <c r="Y3" s="288"/>
    </row>
    <row r="4" spans="1:30" ht="12" customHeight="1" thickBot="1">
      <c r="A4" s="26"/>
      <c r="B4" s="184" t="s">
        <v>824</v>
      </c>
      <c r="C4" s="218" t="s">
        <v>834</v>
      </c>
      <c r="D4" s="185"/>
      <c r="E4" s="185"/>
      <c r="F4" s="185"/>
      <c r="G4" s="185"/>
      <c r="K4" s="184" t="s">
        <v>824</v>
      </c>
      <c r="L4" s="218" t="s">
        <v>834</v>
      </c>
      <c r="M4" s="185"/>
      <c r="N4" s="185"/>
      <c r="O4" s="185"/>
      <c r="P4" s="185"/>
      <c r="T4" s="184" t="s">
        <v>824</v>
      </c>
      <c r="U4" s="218" t="s">
        <v>835</v>
      </c>
      <c r="V4" s="185"/>
      <c r="W4" s="185"/>
      <c r="X4" s="185"/>
      <c r="Y4" s="185"/>
    </row>
    <row r="5" spans="1:30" ht="12" customHeight="1" thickBot="1"/>
    <row r="6" spans="1:30" s="55" customFormat="1" ht="12">
      <c r="B6" s="52" t="s">
        <v>74</v>
      </c>
      <c r="C6" s="53" t="s">
        <v>79</v>
      </c>
      <c r="D6" s="54" t="s">
        <v>768</v>
      </c>
      <c r="J6" s="56"/>
      <c r="K6" s="71" t="s">
        <v>74</v>
      </c>
      <c r="L6" s="72" t="s">
        <v>79</v>
      </c>
      <c r="M6" s="54" t="s">
        <v>768</v>
      </c>
      <c r="T6" s="66" t="s">
        <v>74</v>
      </c>
      <c r="U6" s="67" t="s">
        <v>79</v>
      </c>
      <c r="V6" s="54" t="s">
        <v>768</v>
      </c>
      <c r="AC6" s="152"/>
      <c r="AD6" s="219"/>
    </row>
    <row r="7" spans="1:30" s="55" customFormat="1" ht="14.25" thickBot="1">
      <c r="B7" s="133" t="s">
        <v>810</v>
      </c>
      <c r="C7" s="141" t="str">
        <f>VLOOKUP(B7,'モンスター　一覧'!$B$4:$E$198,2,FALSE)</f>
        <v>C</v>
      </c>
      <c r="D7" s="57" t="s">
        <v>337</v>
      </c>
      <c r="J7" s="56"/>
      <c r="K7" s="133" t="s">
        <v>908</v>
      </c>
      <c r="L7" s="141" t="str">
        <f>VLOOKUP(K7,'モンスター　一覧'!$B$4:$E$198,2,FALSE)</f>
        <v>D</v>
      </c>
      <c r="M7" s="57" t="s">
        <v>337</v>
      </c>
      <c r="T7" s="133" t="s">
        <v>235</v>
      </c>
      <c r="U7" s="141" t="str">
        <f>VLOOKUP(T7,'モンスター　一覧'!$B$4:$E$198,2,FALSE)</f>
        <v>D</v>
      </c>
      <c r="V7" s="57" t="s">
        <v>337</v>
      </c>
      <c r="AC7" s="152"/>
      <c r="AD7" s="219"/>
    </row>
    <row r="8" spans="1:30" s="55" customFormat="1" ht="12">
      <c r="B8" s="234" t="s">
        <v>945</v>
      </c>
      <c r="D8" s="58" t="s">
        <v>338</v>
      </c>
      <c r="J8" s="56"/>
      <c r="K8" s="234" t="s">
        <v>945</v>
      </c>
      <c r="M8" s="58" t="s">
        <v>338</v>
      </c>
      <c r="T8" s="234" t="s">
        <v>945</v>
      </c>
      <c r="V8" s="58" t="s">
        <v>338</v>
      </c>
      <c r="AC8" s="152"/>
      <c r="AD8" s="219"/>
    </row>
    <row r="9" spans="1:30" s="55" customFormat="1" ht="12">
      <c r="D9" s="134" t="s">
        <v>766</v>
      </c>
      <c r="J9" s="56"/>
      <c r="M9" s="134" t="s">
        <v>766</v>
      </c>
      <c r="V9" s="134" t="s">
        <v>766</v>
      </c>
      <c r="AC9" s="152"/>
      <c r="AD9" s="219"/>
    </row>
    <row r="10" spans="1:30" s="55" customFormat="1" ht="12.75" thickBot="1">
      <c r="D10" s="134" t="s">
        <v>767</v>
      </c>
      <c r="J10" s="56"/>
      <c r="M10" s="134" t="s">
        <v>767</v>
      </c>
      <c r="V10" s="134" t="s">
        <v>767</v>
      </c>
      <c r="AC10" s="152"/>
      <c r="AD10" s="219"/>
    </row>
    <row r="11" spans="1:30" s="55" customFormat="1" ht="12">
      <c r="B11" s="59" t="s">
        <v>331</v>
      </c>
      <c r="C11" s="60" t="s">
        <v>6</v>
      </c>
      <c r="D11" s="60" t="s">
        <v>7</v>
      </c>
      <c r="E11" s="60" t="s">
        <v>8</v>
      </c>
      <c r="F11" s="60" t="s">
        <v>9</v>
      </c>
      <c r="G11" s="60" t="s">
        <v>332</v>
      </c>
      <c r="H11" s="202" t="s">
        <v>11</v>
      </c>
      <c r="I11" s="203" t="s">
        <v>894</v>
      </c>
      <c r="J11" s="56"/>
      <c r="K11" s="68" t="s">
        <v>331</v>
      </c>
      <c r="L11" s="69" t="s">
        <v>6</v>
      </c>
      <c r="M11" s="69" t="s">
        <v>7</v>
      </c>
      <c r="N11" s="69" t="s">
        <v>8</v>
      </c>
      <c r="O11" s="69" t="s">
        <v>9</v>
      </c>
      <c r="P11" s="69" t="s">
        <v>332</v>
      </c>
      <c r="Q11" s="207" t="s">
        <v>11</v>
      </c>
      <c r="R11" s="208" t="s">
        <v>894</v>
      </c>
      <c r="T11" s="73" t="s">
        <v>331</v>
      </c>
      <c r="U11" s="74" t="s">
        <v>6</v>
      </c>
      <c r="V11" s="74" t="s">
        <v>7</v>
      </c>
      <c r="W11" s="74" t="s">
        <v>8</v>
      </c>
      <c r="X11" s="74" t="s">
        <v>9</v>
      </c>
      <c r="Y11" s="74" t="s">
        <v>332</v>
      </c>
      <c r="Z11" s="209" t="s">
        <v>11</v>
      </c>
      <c r="AA11" s="210" t="s">
        <v>894</v>
      </c>
      <c r="AC11" s="152"/>
      <c r="AD11" s="219"/>
    </row>
    <row r="12" spans="1:30" s="63" customFormat="1" ht="12">
      <c r="B12" s="62" t="s">
        <v>55</v>
      </c>
      <c r="C12" s="192">
        <f>IF($C$4="通常",(VLOOKUP($B$7,'モンスター　一覧'!$B$4:$O$198,9,FALSE)*性格一覧!$B3*Lv50時の伸び率!T3*0.01)*(VLOOKUP($C$3,ギルド一覧!$B$4:$R$29,6,FALSE)),(VLOOKUP($B$7,'モンスター　一覧'!$B$4:$O$198,9,FALSE)*性格一覧!$B3*Lv50時の伸び率!T3*0.01)*(VLOOKUP($C$3,ギルド一覧!$B$4:$R$29,12,FALSE)))</f>
        <v>325.13513513513516</v>
      </c>
      <c r="D12" s="192">
        <f>IF($C$4="通常",(VLOOKUP($B$7,'モンスター　一覧'!$B$4:$O$198,10,FALSE)*性格一覧!$C3*Lv50時の伸び率!U3*0.01)*(VLOOKUP($C$3,ギルド一覧!$B$4:$R$29,7,FALSE)),(VLOOKUP($B$7,'モンスター　一覧'!$B$4:$O$198,10,FALSE)*性格一覧!$C3*Lv50時の伸び率!U3*0.01)*(VLOOKUP($C$3,ギルド一覧!$B$4:$R$29,13,FALSE)))</f>
        <v>64.354838709677409</v>
      </c>
      <c r="E12" s="192">
        <f>IF($C$4="通常",(VLOOKUP($B$7,'モンスター　一覧'!$B$4:$O$198,11,FALSE)*性格一覧!$D3*Lv50時の伸び率!V3*0.01)*(VLOOKUP($C$3,ギルド一覧!$B$4:$R$29,8,FALSE)),(VLOOKUP($B$7,'モンスター　一覧'!$B$4:$O$198,11,FALSE)*性格一覧!$D3*Lv50時の伸び率!V3*0.01)*(VLOOKUP($C$3,ギルド一覧!$B$4:$R$29,14,FALSE)))</f>
        <v>233.10569105691056</v>
      </c>
      <c r="F12" s="192">
        <f>IF($C$4="通常",(VLOOKUP($B$7,'モンスター　一覧'!$B$4:$O$198,12,FALSE)*性格一覧!$E3*Lv50時の伸び率!W3*0.01)*(VLOOKUP($C$3,ギルド一覧!$B$4:$R$29,9,FALSE)),(VLOOKUP($B$7,'モンスター　一覧'!$B$4:$O$198,12,FALSE)*性格一覧!$E3*Lv50時の伸び率!W3*0.01)*(VLOOKUP($C$3,ギルド一覧!$B$4:$R$29,15,FALSE)))</f>
        <v>47.272727272727273</v>
      </c>
      <c r="G12" s="192">
        <f>IF($C$4="通常",(VLOOKUP($B$7,'モンスター　一覧'!$B$4:$O$198,13,FALSE)*性格一覧!$F3*Lv50時の伸び率!X3*0.01)*(VLOOKUP($C$3,ギルド一覧!$B$4:$R$29,10,FALSE)),(VLOOKUP($B$7,'モンスター　一覧'!$B$4:$O$198,13,FALSE)*性格一覧!$F3*Lv50時の伸び率!X3*0.01)*(VLOOKUP($C$3,ギルド一覧!$B$4:$R$29,16,FALSE)))</f>
        <v>92.892857142857139</v>
      </c>
      <c r="H12" s="220">
        <f>IF($C$4="通常",(VLOOKUP($B$7,'モンスター　一覧'!$B$4:$O$198,14,FALSE)*性格一覧!$G3*Lv50時の伸び率!Y3*0.01)*(VLOOKUP($C$3,ギルド一覧!$B$4:$R$29,11,FALSE)),(VLOOKUP($B$7,'モンスター　一覧'!$B$4:$O$198,14,FALSE)*性格一覧!$G3*Lv50時の伸び率!Y3*0.01)*VLOOKUP($C$3,ギルド一覧!$B$4:$R$29,17,FALSE))</f>
        <v>25.454545454545457</v>
      </c>
      <c r="I12" s="204">
        <f>SUM(C12:H12)</f>
        <v>788.21579477185298</v>
      </c>
      <c r="J12" s="56"/>
      <c r="K12" s="197" t="s">
        <v>55</v>
      </c>
      <c r="L12" s="192">
        <f>IF($L$4="通常",(VLOOKUP($K$7,'モンスター　一覧'!$B$4:$O$198,9,FALSE)*性格一覧!$B3*Lv50時の伸び率!$T3*0.01)*(VLOOKUP($C$3,ギルド一覧!$B$4:$R$29,6,FALSE)),(VLOOKUP($K$7,'モンスター　一覧'!$B$4:$O$198,9,FALSE)*性格一覧!$B3*Lv50時の伸び率!$T3*0.01)*(VLOOKUP($C$3,ギルド一覧!$B$4:$R$29,12,FALSE)))</f>
        <v>216.75675675675677</v>
      </c>
      <c r="M12" s="192">
        <f>IF($L$4="通常",(VLOOKUP($K$7,'モンスター　一覧'!$B$4:$O$198,10,FALSE)*性格一覧!$C3*Lv50時の伸び率!$U3*0.01)*(VLOOKUP($L$3,ギルド一覧!$B$4:$R$29,7,FALSE)),(VLOOKUP($K$7,'モンスター　一覧'!$B$4:$O$198,10,FALSE)*性格一覧!$C3*Lv50時の伸び率!$U3*0.01)*(VLOOKUP($L$3,ギルド一覧!$B$4:$R$29,13,FALSE)))</f>
        <v>110.3225806451613</v>
      </c>
      <c r="N12" s="192">
        <f>IF($L$4="通常",(VLOOKUP($K$7,'モンスター　一覧'!$B$4:$O$198,11,FALSE)*性格一覧!$D3*Lv50時の伸び率!$V3*0.01)*(VLOOKUP($L$3,ギルド一覧!$B$4:$R$29,8,FALSE)),(VLOOKUP($K$7,'モンスター　一覧'!$B$4:$O$198,11,FALSE)*性格一覧!$D3*Lv50時の伸び率!$V3*0.01)*(VLOOKUP($C$3,ギルド一覧!$B$4:$R$29,14,FALSE)))</f>
        <v>174.82926829268294</v>
      </c>
      <c r="O12" s="192">
        <f>IF($L$4="通常",(VLOOKUP($K$7,'モンスター　一覧'!$B$4:$O$198,12,FALSE)*性格一覧!$E3*Lv50時の伸び率!$W3*0.01)*(VLOOKUP($L$3,ギルド一覧!$B$4:$R$29,9,FALSE)),(VLOOKUP($K$7,'モンスター　一覧'!$B$4:$O$198,12,FALSE)*性格一覧!$E3*Lv50時の伸び率!$W3*0.01)*(VLOOKUP($L$3,ギルド一覧!$B$4:$R$29,15,FALSE)))</f>
        <v>227.27272727272728</v>
      </c>
      <c r="P12" s="192">
        <f>IF($L$4="通常",(VLOOKUP($K$7,'モンスター　一覧'!$B$4:$O$198,13,FALSE)*性格一覧!$F3*Lv50時の伸び率!$X3*0.01)*(VLOOKUP($L$3,ギルド一覧!$B$4:$R$29,10,FALSE)),(VLOOKUP($K$7,'モンスター　一覧'!$B$4:$O$198,13,FALSE)*性格一覧!$F3*Lv50時の伸び率!$X3*0.01)*(VLOOKUP($L$3,ギルド一覧!$B$4:$R$29,16,FALSE)))</f>
        <v>206.91428571428574</v>
      </c>
      <c r="Q12" s="220">
        <f>IF($L$4="通常",(VLOOKUP($K$7,'モンスター　一覧'!$B$4:$O$198,14,FALSE)*性格一覧!$G3*Lv50時の伸び率!$Y3*0.01)*(VLOOKUP($L$3,ギルド一覧!$B$4:$R$29,11,FALSE)),(VLOOKUP($K$7,'モンスター　一覧'!$B$4:$O$198,14,FALSE)*性格一覧!$G3*Lv50時の伸び率!$Y3*0.01)*VLOOKUP($L$3,ギルド一覧!$B$4:$R$29,17,FALSE))</f>
        <v>145.45454545454544</v>
      </c>
      <c r="R12" s="204">
        <f>SUM(L12:Q12)</f>
        <v>1081.5501641361593</v>
      </c>
      <c r="T12" s="62" t="s">
        <v>55</v>
      </c>
      <c r="U12" s="192">
        <f>IF($U$4="通常",(VLOOKUP($T$7,'モンスター　一覧'!$B$4:$O$198,9,FALSE)*性格一覧!$B3*Lv50時の伸び率!$T3*0.01)*(VLOOKUP($U$3,ギルド一覧!$B$4:$R$29,6,FALSE)),(VLOOKUP($T$7,'モンスター　一覧'!$B$4:$O$198,9,FALSE)*性格一覧!$B3*Lv50時の伸び率!$T3*0.01)*(VLOOKUP($U$3,ギルド一覧!$B$4:$R$29,12,FALSE)))</f>
        <v>346.81081081081078</v>
      </c>
      <c r="V12" s="192">
        <f>IF($T$4="通常",(VLOOKUP($T$7,'モンスター　一覧'!$B$4:$O$198,10,FALSE)*性格一覧!$C3*Lv50時の伸び率!$U3*0.01)*(VLOOKUP($U$3,ギルド一覧!$B$4:$R$29,7,FALSE)),(VLOOKUP($T$7,'モンスター　一覧'!$B$4:$O$198,10,FALSE)*性格一覧!$C3*Lv50時の伸び率!$U3*0.01)*(VLOOKUP($U$3,ギルド一覧!$B$4:$R$29,13,FALSE)))</f>
        <v>139.74193548387098</v>
      </c>
      <c r="W12" s="192">
        <f>IF($U$4="通常",(VLOOKUP($T$7,'モンスター　一覧'!$B$4:$O$198,11,FALSE)*性格一覧!$D3*Lv50時の伸び率!$V3*0.01)*(VLOOKUP($U$3,ギルド一覧!$B$4:$R$29,8,FALSE)),(VLOOKUP($T$7,'モンスター　一覧'!$B$4:$O$198,11,FALSE)*性格一覧!$D3*Lv50時の伸び率!$V3*0.01)*(VLOOKUP($C$3,ギルド一覧!$B$4:$R$29,14,FALSE)))</f>
        <v>154.79674796747966</v>
      </c>
      <c r="X12" s="192">
        <f>IF($U$4="通常",(VLOOKUP($T$7,'モンスター　一覧'!$B$4:$O$198,12,FALSE)*性格一覧!$E3*Lv50時の伸び率!$W3*0.01)*(VLOOKUP($U$3,ギルド一覧!$B$4:$R$29,9,FALSE)),(VLOOKUP($T$7,'モンスター　一覧'!$B$4:$O$198,12,FALSE)*性格一覧!$E3*Lv50時の伸び率!$W3*0.01)*(VLOOKUP($U$3,ギルド一覧!$B$4:$R$29,15,FALSE)))</f>
        <v>161.81818181818181</v>
      </c>
      <c r="Y12" s="192">
        <f>IF($U$4="通常",(VLOOKUP($T$7,'モンスター　一覧'!$B$4:$O$198,13,FALSE)*性格一覧!$F3*Lv50時の伸び率!$X3*0.01)*(VLOOKUP($U$3,ギルド一覧!$B$4:$R$29,10,FALSE)),(VLOOKUP($T$7,'モンスター　一覧'!$B$4:$O$198,13,FALSE)*性格一覧!$F3*Lv50時の伸び率!$X3*0.01)*(VLOOKUP($U$3,ギルド一覧!$B$4:$R$29,16,FALSE)))</f>
        <v>149.35714285714286</v>
      </c>
      <c r="Z12" s="220">
        <f>IF($U$4="通常",(VLOOKUP($T$7,'モンスター　一覧'!$B$4:$O$198,14,FALSE)*性格一覧!$G3*Lv50時の伸び率!$Y3*0.01)*(VLOOKUP($U$3,ギルド一覧!$B$4:$R$29,11,FALSE)),(VLOOKUP($T$7,'モンスター　一覧'!$B$4:$O$198,14,FALSE)*性格一覧!$G3*Lv50時の伸び率!$Y3*0.01)*VLOOKUP($U$3,ギルド一覧!$B$4:$R$29,17,FALSE))</f>
        <v>230.90909090909093</v>
      </c>
      <c r="AA12" s="204">
        <f>SUM(U12:Z12)</f>
        <v>1183.4339098465771</v>
      </c>
      <c r="AC12" s="152"/>
      <c r="AD12" s="303"/>
    </row>
    <row r="13" spans="1:30" s="55" customFormat="1">
      <c r="B13" s="64" t="s">
        <v>12</v>
      </c>
      <c r="C13" s="193">
        <f>IF($C$4="通常",(VLOOKUP($B$7,'モンスター　一覧'!$B$4:$O$198,9,FALSE)*性格一覧!$B4*Lv50時の伸び率!T4*0.01)*(VLOOKUP($C$3,ギルド一覧!$B$4:$R$29,6,FALSE)),(VLOOKUP($B$7,'モンスター　一覧'!$B$4:$O$198,9,FALSE)*性格一覧!$B4*Lv50時の伸び率!T4*0.01)*(VLOOKUP($C$3,ギルド一覧!$B$4:$R$29,12,FALSE)))</f>
        <v>270.96774193548384</v>
      </c>
      <c r="D13" s="193">
        <f>IF($C$4="通常",(VLOOKUP($B$7,'モンスター　一覧'!$B$4:$O$198,10,FALSE)*性格一覧!$C4*Lv50時の伸び率!U4*0.01)*(VLOOKUP($C$3,ギルド一覧!$B$4:$R$29,7,FALSE)),(VLOOKUP($B$7,'モンスター　一覧'!$B$4:$O$198,10,FALSE)*性格一覧!$C4*Lv50時の伸び率!U4*0.01)*(VLOOKUP($C$3,ギルド一覧!$B$4:$R$29,13,FALSE)))</f>
        <v>55.78125</v>
      </c>
      <c r="E13" s="193">
        <f>IF($C$4="通常",(VLOOKUP($B$7,'モンスター　一覧'!$B$4:$O$198,11,FALSE)*性格一覧!$D4*Lv50時の伸び率!V4*0.01)*(VLOOKUP($C$3,ギルド一覧!$B$4:$R$29,8,FALSE)),(VLOOKUP($B$7,'モンスター　一覧'!$B$4:$O$198,11,FALSE)*性格一覧!$D4*Lv50時の伸び率!V4*0.01)*(VLOOKUP($C$3,ギルド一覧!$B$4:$R$29,14,FALSE)))</f>
        <v>215.04</v>
      </c>
      <c r="F13" s="193">
        <f>IF($C$4="通常",(VLOOKUP($B$7,'モンスター　一覧'!$B$4:$O$198,12,FALSE)*性格一覧!$E4*Lv50時の伸び率!W4*0.01)*(VLOOKUP($C$3,ギルド一覧!$B$4:$R$29,9,FALSE)),(VLOOKUP($B$7,'モンスター　一覧'!$B$4:$O$198,12,FALSE)*性格一覧!$E4*Lv50時の伸び率!W4*0.01)*(VLOOKUP($C$3,ギルド一覧!$B$4:$R$29,15,FALSE)))</f>
        <v>44.909090909090899</v>
      </c>
      <c r="G13" s="193">
        <f>IF($C$4="通常",(VLOOKUP($B$7,'モンスター　一覧'!$B$4:$O$198,13,FALSE)*性格一覧!$F4*Lv50時の伸び率!X4*0.01)*(VLOOKUP($C$3,ギルド一覧!$B$4:$R$29,10,FALSE)),(VLOOKUP($B$7,'モンスター　一覧'!$B$4:$O$198,13,FALSE)*性格一覧!$F4*Lv50時の伸び率!X4*0.01)*(VLOOKUP($C$3,ギルド一覧!$B$4:$R$29,16,FALSE)))</f>
        <v>96.742268041237111</v>
      </c>
      <c r="H13" s="201">
        <f>IF($C$4="通常",(VLOOKUP($B$7,'モンスター　一覧'!$B$4:$O$198,14,FALSE)*性格一覧!$G4*Lv50時の伸び率!Y4*0.01)*(VLOOKUP($C$3,ギルド一覧!$B$4:$R$29,11,FALSE)),(VLOOKUP($B$7,'モンスター　一覧'!$B$4:$O$198,14,FALSE)*性格一覧!$G4*Lv50時の伸び率!Y4*0.01)*VLOOKUP($C$3,ギルド一覧!$B$4:$R$29,17,FALSE))</f>
        <v>29.058823529411768</v>
      </c>
      <c r="I13" s="205">
        <f t="shared" ref="I13:I56" si="0">SUM(C13:H13)</f>
        <v>712.49917441522371</v>
      </c>
      <c r="J13" s="56"/>
      <c r="K13" s="198" t="s">
        <v>12</v>
      </c>
      <c r="L13" s="193">
        <f>IF($L$4="通常",(VLOOKUP($K$7,'モンスター　一覧'!$B$4:$O$198,9,FALSE)*性格一覧!$B4*Lv50時の伸び率!$T4*0.01)*(VLOOKUP($C$3,ギルド一覧!$B$4:$R$29,6,FALSE)),(VLOOKUP($K$7,'モンスター　一覧'!$B$4:$O$198,9,FALSE)*性格一覧!$B4*Lv50時の伸び率!$T4*0.01)*(VLOOKUP($C$3,ギルド一覧!$B$4:$R$29,12,FALSE)))</f>
        <v>180.64516129032259</v>
      </c>
      <c r="M13" s="193">
        <f>IF($L$4="通常",(VLOOKUP($K$7,'モンスター　一覧'!$B$4:$O$198,10,FALSE)*性格一覧!$C4*Lv50時の伸び率!$U4*0.01)*(VLOOKUP($L$3,ギルド一覧!$B$4:$R$29,7,FALSE)),(VLOOKUP($K$7,'モンスター　一覧'!$B$4:$O$198,10,FALSE)*性格一覧!$C4*Lv50時の伸び率!$U4*0.01)*(VLOOKUP($L$3,ギルド一覧!$B$4:$R$29,13,FALSE)))</f>
        <v>95.625</v>
      </c>
      <c r="N13" s="193">
        <f>IF($L$4="通常",(VLOOKUP($K$7,'モンスター　一覧'!$B$4:$O$198,11,FALSE)*性格一覧!$D4*Lv50時の伸び率!$V4*0.01)*(VLOOKUP($L$3,ギルド一覧!$B$4:$R$29,8,FALSE)),(VLOOKUP($K$7,'モンスター　一覧'!$B$4:$O$198,11,FALSE)*性格一覧!$D4*Lv50時の伸び率!$V4*0.01)*(VLOOKUP($C$3,ギルド一覧!$B$4:$R$29,14,FALSE)))</f>
        <v>161.28</v>
      </c>
      <c r="O13" s="193">
        <f>IF($L$4="通常",(VLOOKUP($K$7,'モンスター　一覧'!$B$4:$O$198,12,FALSE)*性格一覧!$E4*Lv50時の伸び率!$W4*0.01)*(VLOOKUP($L$3,ギルド一覧!$B$4:$R$29,9,FALSE)),(VLOOKUP($K$7,'モンスター　一覧'!$B$4:$O$198,12,FALSE)*性格一覧!$E4*Lv50時の伸び率!$W4*0.01)*(VLOOKUP($L$3,ギルド一覧!$B$4:$R$29,15,FALSE)))</f>
        <v>215.90909090909088</v>
      </c>
      <c r="P13" s="193">
        <f>IF($L$4="通常",(VLOOKUP($K$7,'モンスター　一覧'!$B$4:$O$198,13,FALSE)*性格一覧!$F4*Lv50時の伸び率!$X4*0.01)*(VLOOKUP($L$3,ギルド一覧!$B$4:$R$29,10,FALSE)),(VLOOKUP($K$7,'モンスター　一覧'!$B$4:$O$198,13,FALSE)*性格一覧!$F4*Lv50時の伸び率!$X4*0.01)*(VLOOKUP($L$3,ギルド一覧!$B$4:$R$29,16,FALSE)))</f>
        <v>215.48865979381441</v>
      </c>
      <c r="Q13" s="194">
        <f>IF($L$4="通常",(VLOOKUP($K$7,'モンスター　一覧'!$B$4:$O$198,14,FALSE)*性格一覧!$G4*Lv50時の伸び率!$Y4*0.01)*(VLOOKUP($L$3,ギルド一覧!$B$4:$R$29,11,FALSE)),(VLOOKUP($K$7,'モンスター　一覧'!$B$4:$O$198,14,FALSE)*性格一覧!$G4*Lv50時の伸び率!$Y4*0.01)*VLOOKUP($L$3,ギルド一覧!$B$4:$R$29,17,FALSE))</f>
        <v>166.05042016806721</v>
      </c>
      <c r="R13" s="205">
        <f t="shared" ref="R13:R56" si="1">SUM(L13:Q13)</f>
        <v>1034.9983321612949</v>
      </c>
      <c r="T13" s="64" t="s">
        <v>12</v>
      </c>
      <c r="U13" s="193">
        <f>IF($U$4="通常",(VLOOKUP($T$7,'モンスター　一覧'!$B$4:$O$198,9,FALSE)*性格一覧!$B4*Lv50時の伸び率!$T4*0.01)*(VLOOKUP($U$3,ギルド一覧!$B$4:$R$29,6,FALSE)),(VLOOKUP($T$7,'モンスター　一覧'!$B$4:$O$198,9,FALSE)*性格一覧!$B4*Lv50時の伸び率!$T4*0.01)*(VLOOKUP($U$3,ギルド一覧!$B$4:$R$29,12,FALSE)))</f>
        <v>289.0322580645161</v>
      </c>
      <c r="V13" s="193">
        <f>IF($T$4="通常",(VLOOKUP($T$7,'モンスター　一覧'!$B$4:$O$198,10,FALSE)*性格一覧!$C4*Lv50時の伸び率!$U4*0.01)*(VLOOKUP($U$3,ギルド一覧!$B$4:$R$29,7,FALSE)),(VLOOKUP($T$7,'モンスター　一覧'!$B$4:$O$198,10,FALSE)*性格一覧!$C4*Lv50時の伸び率!$U4*0.01)*(VLOOKUP($U$3,ギルド一覧!$B$4:$R$29,13,FALSE)))</f>
        <v>121.125</v>
      </c>
      <c r="W13" s="193">
        <f>IF($U$4="通常",(VLOOKUP($T$7,'モンスター　一覧'!$B$4:$O$198,11,FALSE)*性格一覧!$D4*Lv50時の伸び率!$V4*0.01)*(VLOOKUP($U$3,ギルド一覧!$B$4:$R$29,8,FALSE)),(VLOOKUP($T$7,'モンスター　一覧'!$B$4:$O$198,11,FALSE)*性格一覧!$D4*Lv50時の伸び率!$V4*0.01)*(VLOOKUP($C$3,ギルド一覧!$B$4:$R$29,14,FALSE)))</f>
        <v>142.80000000000001</v>
      </c>
      <c r="X13" s="193">
        <f>IF($U$4="通常",(VLOOKUP($T$7,'モンスター　一覧'!$B$4:$O$198,12,FALSE)*性格一覧!$E4*Lv50時の伸び率!$W4*0.01)*(VLOOKUP($U$3,ギルド一覧!$B$4:$R$29,9,FALSE)),(VLOOKUP($T$7,'モンスター　一覧'!$B$4:$O$198,12,FALSE)*性格一覧!$E4*Lv50時の伸び率!$W4*0.01)*(VLOOKUP($U$3,ギルド一覧!$B$4:$R$29,15,FALSE)))</f>
        <v>153.72727272727272</v>
      </c>
      <c r="Y13" s="193">
        <f>IF($U$4="通常",(VLOOKUP($T$7,'モンスター　一覧'!$B$4:$O$198,13,FALSE)*性格一覧!$F4*Lv50時の伸び率!$X4*0.01)*(VLOOKUP($U$3,ギルド一覧!$B$4:$R$29,10,FALSE)),(VLOOKUP($T$7,'モンスター　一覧'!$B$4:$O$198,13,FALSE)*性格一覧!$F4*Lv50時の伸び率!$X4*0.01)*(VLOOKUP($U$3,ギルド一覧!$B$4:$R$29,16,FALSE)))</f>
        <v>155.54639175257731</v>
      </c>
      <c r="Z13" s="194">
        <f>IF($U$4="通常",(VLOOKUP($T$7,'モンスター　一覧'!$B$4:$O$198,14,FALSE)*性格一覧!$G4*Lv50時の伸び率!$Y4*0.01)*(VLOOKUP($U$3,ギルド一覧!$B$4:$R$29,11,FALSE)),(VLOOKUP($T$7,'モンスター　一覧'!$B$4:$O$198,14,FALSE)*性格一覧!$G4*Lv50時の伸び率!$Y4*0.01)*VLOOKUP($U$3,ギルド一覧!$B$4:$R$29,17,FALSE))</f>
        <v>263.60504201680675</v>
      </c>
      <c r="AA13" s="205">
        <f t="shared" ref="AA13:AA56" si="2">SUM(U13:Z13)</f>
        <v>1125.8359645611729</v>
      </c>
      <c r="AC13" s="152" t="s">
        <v>235</v>
      </c>
      <c r="AD13" s="235" t="s">
        <v>858</v>
      </c>
    </row>
    <row r="14" spans="1:30" s="55" customFormat="1">
      <c r="B14" s="64" t="s">
        <v>15</v>
      </c>
      <c r="C14" s="193">
        <f>IF($C$4="通常",(VLOOKUP($B$7,'モンスター　一覧'!$B$4:$O$198,9,FALSE)*性格一覧!$B5*Lv50時の伸び率!T5*0.01)*(VLOOKUP($C$3,ギルド一覧!$B$4:$R$29,6,FALSE)),(VLOOKUP($B$7,'モンスター　一覧'!$B$4:$O$198,9,FALSE)*性格一覧!$B5*Lv50時の伸び率!T5*0.01)*(VLOOKUP($C$3,ギルド一覧!$B$4:$R$29,12,FALSE)))</f>
        <v>308.91891891891896</v>
      </c>
      <c r="D14" s="193">
        <f>IF($C$4="通常",(VLOOKUP($B$7,'モンスター　一覧'!$B$4:$O$198,10,FALSE)*性格一覧!$C5*Lv50時の伸び率!U5*0.01)*(VLOOKUP($C$3,ギルド一覧!$B$4:$R$29,7,FALSE)),(VLOOKUP($B$7,'モンスター　一覧'!$B$4:$O$198,10,FALSE)*性格一覧!$C5*Lv50時の伸び率!U5*0.01)*(VLOOKUP($C$3,ギルド一覧!$B$4:$R$29,13,FALSE)))</f>
        <v>60.967741935483865</v>
      </c>
      <c r="E14" s="193">
        <f>IF($C$4="通常",(VLOOKUP($B$7,'モンスター　一覧'!$B$4:$O$198,11,FALSE)*性格一覧!$D5*Lv50時の伸び率!V5*0.01)*(VLOOKUP($C$3,ギルド一覧!$B$4:$R$29,8,FALSE)),(VLOOKUP($B$7,'モンスター　一覧'!$B$4:$O$198,11,FALSE)*性格一覧!$D5*Lv50時の伸び率!V5*0.01)*(VLOOKUP($C$3,ギルド一覧!$B$4:$R$29,14,FALSE)))</f>
        <v>222.69918699186991</v>
      </c>
      <c r="F14" s="193">
        <f>IF($C$4="通常",(VLOOKUP($B$7,'モンスター　一覧'!$B$4:$O$198,12,FALSE)*性格一覧!$E5*Lv50時の伸び率!W5*0.01)*(VLOOKUP($C$3,ギルド一覧!$B$4:$R$29,9,FALSE)),(VLOOKUP($B$7,'モンスター　一覧'!$B$4:$O$198,12,FALSE)*性格一覧!$E5*Lv50時の伸び率!W5*0.01)*(VLOOKUP($C$3,ギルド一覧!$B$4:$R$29,15,FALSE)))</f>
        <v>39.236363636363635</v>
      </c>
      <c r="G14" s="193">
        <f>IF($C$4="通常",(VLOOKUP($B$7,'モンスター　一覧'!$B$4:$O$198,13,FALSE)*性格一覧!$F5*Lv50時の伸び率!X5*0.01)*(VLOOKUP($C$3,ギルド一覧!$B$4:$R$29,10,FALSE)),(VLOOKUP($B$7,'モンスター　一覧'!$B$4:$O$198,13,FALSE)*性格一覧!$F5*Lv50時の伸び率!X5*0.01)*(VLOOKUP($C$3,ギルド一覧!$B$4:$R$29,16,FALSE)))</f>
        <v>88.339285714285708</v>
      </c>
      <c r="H14" s="201">
        <f>IF($C$4="通常",(VLOOKUP($B$7,'モンスター　一覧'!$B$4:$O$198,14,FALSE)*性格一覧!$G5*Lv50時の伸び率!Y5*0.01)*(VLOOKUP($C$3,ギルド一覧!$B$4:$R$29,11,FALSE)),(VLOOKUP($B$7,'モンスター　一覧'!$B$4:$O$198,14,FALSE)*性格一覧!$G5*Lv50時の伸び率!Y5*0.01)*VLOOKUP($C$3,ギルド一覧!$B$4:$R$29,17,FALSE))</f>
        <v>25.030303030303028</v>
      </c>
      <c r="I14" s="205">
        <f t="shared" si="0"/>
        <v>745.19180022722503</v>
      </c>
      <c r="J14" s="56"/>
      <c r="K14" s="198" t="s">
        <v>15</v>
      </c>
      <c r="L14" s="193">
        <f>IF($L$4="通常",(VLOOKUP($K$7,'モンスター　一覧'!$B$4:$O$198,9,FALSE)*性格一覧!$B5*Lv50時の伸び率!$T5*0.01)*(VLOOKUP($C$3,ギルド一覧!$B$4:$R$29,6,FALSE)),(VLOOKUP($K$7,'モンスター　一覧'!$B$4:$O$198,9,FALSE)*性格一覧!$B5*Lv50時の伸び率!$T5*0.01)*(VLOOKUP($C$3,ギルド一覧!$B$4:$R$29,12,FALSE)))</f>
        <v>205.94594594594597</v>
      </c>
      <c r="M14" s="193">
        <f>IF($L$4="通常",(VLOOKUP($K$7,'モンスター　一覧'!$B$4:$O$198,10,FALSE)*性格一覧!$C5*Lv50時の伸び率!$U5*0.01)*(VLOOKUP($L$3,ギルド一覧!$B$4:$R$29,7,FALSE)),(VLOOKUP($K$7,'モンスター　一覧'!$B$4:$O$198,10,FALSE)*性格一覧!$C5*Lv50時の伸び率!$U5*0.01)*(VLOOKUP($L$3,ギルド一覧!$B$4:$R$29,13,FALSE)))</f>
        <v>104.51612903225806</v>
      </c>
      <c r="N14" s="193">
        <f>IF($L$4="通常",(VLOOKUP($K$7,'モンスター　一覧'!$B$4:$O$198,11,FALSE)*性格一覧!$D5*Lv50時の伸び率!$V5*0.01)*(VLOOKUP($L$3,ギルド一覧!$B$4:$R$29,8,FALSE)),(VLOOKUP($K$7,'モンスター　一覧'!$B$4:$O$198,11,FALSE)*性格一覧!$D5*Lv50時の伸び率!$V5*0.01)*(VLOOKUP($C$3,ギルド一覧!$B$4:$R$29,14,FALSE)))</f>
        <v>167.02439024390242</v>
      </c>
      <c r="O14" s="193">
        <f>IF($L$4="通常",(VLOOKUP($K$7,'モンスター　一覧'!$B$4:$O$198,12,FALSE)*性格一覧!$E5*Lv50時の伸び率!$W5*0.01)*(VLOOKUP($L$3,ギルド一覧!$B$4:$R$29,9,FALSE)),(VLOOKUP($K$7,'モンスター　一覧'!$B$4:$O$198,12,FALSE)*性格一覧!$E5*Lv50時の伸び率!$W5*0.01)*(VLOOKUP($L$3,ギルド一覧!$B$4:$R$29,15,FALSE)))</f>
        <v>188.63636363636365</v>
      </c>
      <c r="P14" s="193">
        <f>IF($L$4="通常",(VLOOKUP($K$7,'モンスター　一覧'!$B$4:$O$198,13,FALSE)*性格一覧!$F5*Lv50時の伸び率!$X5*0.01)*(VLOOKUP($L$3,ギルド一覧!$B$4:$R$29,10,FALSE)),(VLOOKUP($K$7,'モンスター　一覧'!$B$4:$O$198,13,FALSE)*性格一覧!$F5*Lv50時の伸び率!$X5*0.01)*(VLOOKUP($L$3,ギルド一覧!$B$4:$R$29,16,FALSE)))</f>
        <v>196.7714285714286</v>
      </c>
      <c r="Q14" s="194">
        <f>IF($L$4="通常",(VLOOKUP($K$7,'モンスター　一覧'!$B$4:$O$198,14,FALSE)*性格一覧!$G5*Lv50時の伸び率!$Y5*0.01)*(VLOOKUP($L$3,ギルド一覧!$B$4:$R$29,11,FALSE)),(VLOOKUP($K$7,'モンスター　一覧'!$B$4:$O$198,14,FALSE)*性格一覧!$G5*Lv50時の伸び率!$Y5*0.01)*VLOOKUP($L$3,ギルド一覧!$B$4:$R$29,17,FALSE))</f>
        <v>143.03030303030303</v>
      </c>
      <c r="R14" s="205">
        <f t="shared" si="1"/>
        <v>1005.9245604602017</v>
      </c>
      <c r="T14" s="64" t="s">
        <v>15</v>
      </c>
      <c r="U14" s="193">
        <f>IF($U$4="通常",(VLOOKUP($T$7,'モンスター　一覧'!$B$4:$O$198,9,FALSE)*性格一覧!$B5*Lv50時の伸び率!$T5*0.01)*(VLOOKUP($U$3,ギルド一覧!$B$4:$R$29,6,FALSE)),(VLOOKUP($T$7,'モンスター　一覧'!$B$4:$O$198,9,FALSE)*性格一覧!$B5*Lv50時の伸び率!$T5*0.01)*(VLOOKUP($U$3,ギルド一覧!$B$4:$R$29,12,FALSE)))</f>
        <v>329.51351351351354</v>
      </c>
      <c r="V14" s="193">
        <f>IF($T$4="通常",(VLOOKUP($T$7,'モンスター　一覧'!$B$4:$O$198,10,FALSE)*性格一覧!$C5*Lv50時の伸び率!$U5*0.01)*(VLOOKUP($U$3,ギルド一覧!$B$4:$R$29,7,FALSE)),(VLOOKUP($T$7,'モンスター　一覧'!$B$4:$O$198,10,FALSE)*性格一覧!$C5*Lv50時の伸び率!$U5*0.01)*(VLOOKUP($U$3,ギルド一覧!$B$4:$R$29,13,FALSE)))</f>
        <v>132.38709677419354</v>
      </c>
      <c r="W14" s="193">
        <f>IF($U$4="通常",(VLOOKUP($T$7,'モンスター　一覧'!$B$4:$O$198,11,FALSE)*性格一覧!$D5*Lv50時の伸び率!$V5*0.01)*(VLOOKUP($U$3,ギルド一覧!$B$4:$R$29,8,FALSE)),(VLOOKUP($T$7,'モンスター　一覧'!$B$4:$O$198,11,FALSE)*性格一覧!$D5*Lv50時の伸び率!$V5*0.01)*(VLOOKUP($C$3,ギルド一覧!$B$4:$R$29,14,FALSE)))</f>
        <v>147.88617886178861</v>
      </c>
      <c r="X14" s="193">
        <f>IF($U$4="通常",(VLOOKUP($T$7,'モンスター　一覧'!$B$4:$O$198,12,FALSE)*性格一覧!$E5*Lv50時の伸び率!$W5*0.01)*(VLOOKUP($U$3,ギルド一覧!$B$4:$R$29,9,FALSE)),(VLOOKUP($T$7,'モンスター　一覧'!$B$4:$O$198,12,FALSE)*性格一覧!$E5*Lv50時の伸び率!$W5*0.01)*(VLOOKUP($U$3,ギルド一覧!$B$4:$R$29,15,FALSE)))</f>
        <v>134.30909090909091</v>
      </c>
      <c r="Y14" s="193">
        <f>IF($U$4="通常",(VLOOKUP($T$7,'モンスター　一覧'!$B$4:$O$198,13,FALSE)*性格一覧!$F5*Lv50時の伸び率!$X5*0.01)*(VLOOKUP($U$3,ギルド一覧!$B$4:$R$29,10,FALSE)),(VLOOKUP($T$7,'モンスター　一覧'!$B$4:$O$198,13,FALSE)*性格一覧!$F5*Lv50時の伸び率!$X5*0.01)*(VLOOKUP($U$3,ギルド一覧!$B$4:$R$29,16,FALSE)))</f>
        <v>142.03571428571431</v>
      </c>
      <c r="Z14" s="194">
        <f>IF($U$4="通常",(VLOOKUP($T$7,'モンスター　一覧'!$B$4:$O$198,14,FALSE)*性格一覧!$G5*Lv50時の伸び率!$Y5*0.01)*(VLOOKUP($U$3,ギルド一覧!$B$4:$R$29,11,FALSE)),(VLOOKUP($T$7,'モンスター　一覧'!$B$4:$O$198,14,FALSE)*性格一覧!$G5*Lv50時の伸び率!$Y5*0.01)*VLOOKUP($U$3,ギルド一覧!$B$4:$R$29,17,FALSE))</f>
        <v>227.06060606060603</v>
      </c>
      <c r="AA14" s="205">
        <f t="shared" si="2"/>
        <v>1113.192200404907</v>
      </c>
      <c r="AC14" s="152" t="s">
        <v>164</v>
      </c>
      <c r="AD14" s="235" t="s">
        <v>839</v>
      </c>
    </row>
    <row r="15" spans="1:30" s="55" customFormat="1">
      <c r="B15" s="64" t="s">
        <v>316</v>
      </c>
      <c r="C15" s="193">
        <f>IF($C$4="通常",(VLOOKUP($B$7,'モンスター　一覧'!$B$4:$O$198,9,FALSE)*性格一覧!$B6*Lv50時の伸び率!T6*0.01)*(VLOOKUP($C$3,ギルド一覧!$B$4:$R$29,6,FALSE)),(VLOOKUP($B$7,'モンスター　一覧'!$B$4:$O$198,9,FALSE)*性格一覧!$B6*Lv50時の伸び率!T6*0.01)*(VLOOKUP($C$3,ギルド一覧!$B$4:$R$29,12,FALSE)))</f>
        <v>271.62162162162161</v>
      </c>
      <c r="D15" s="193">
        <f>IF($C$4="通常",(VLOOKUP($B$7,'モンスター　一覧'!$B$4:$O$198,10,FALSE)*性格一覧!$C6*Lv50時の伸び率!U6*0.01)*(VLOOKUP($C$3,ギルド一覧!$B$4:$R$29,7,FALSE)),(VLOOKUP($B$7,'モンスター　一覧'!$B$4:$O$198,10,FALSE)*性格一覧!$C6*Lv50時の伸び率!U6*0.01)*(VLOOKUP($C$3,ギルド一覧!$B$4:$R$29,13,FALSE)))</f>
        <v>75.645161290322577</v>
      </c>
      <c r="E15" s="193">
        <f>IF($C$4="通常",(VLOOKUP($B$7,'モンスター　一覧'!$B$4:$O$198,11,FALSE)*性格一覧!$D6*Lv50時の伸び率!V6*0.01)*(VLOOKUP($C$3,ギルド一覧!$B$4:$R$29,8,FALSE)),(VLOOKUP($B$7,'モンスター　一覧'!$B$4:$O$198,11,FALSE)*性格一覧!$D6*Lv50時の伸び率!V6*0.01)*(VLOOKUP($C$3,ギルド一覧!$B$4:$R$29,14,FALSE)))</f>
        <v>223.73983739837399</v>
      </c>
      <c r="F15" s="193">
        <f>IF($C$4="通常",(VLOOKUP($B$7,'モンスター　一覧'!$B$4:$O$198,12,FALSE)*性格一覧!$E6*Lv50時の伸び率!W6*0.01)*(VLOOKUP($C$3,ギルド一覧!$B$4:$R$29,9,FALSE)),(VLOOKUP($B$7,'モンスター　一覧'!$B$4:$O$198,12,FALSE)*性格一覧!$E6*Lv50時の伸び率!W6*0.01)*(VLOOKUP($C$3,ギルド一覧!$B$4:$R$29,15,FALSE)))</f>
        <v>46.800000000000004</v>
      </c>
      <c r="G15" s="193">
        <f>IF($C$4="通常",(VLOOKUP($B$7,'モンスター　一覧'!$B$4:$O$198,13,FALSE)*性格一覧!$F6*Lv50時の伸び率!X6*0.01)*(VLOOKUP($C$3,ギルド一覧!$B$4:$R$29,10,FALSE)),(VLOOKUP($B$7,'モンスター　一覧'!$B$4:$O$198,13,FALSE)*性格一覧!$F6*Lv50時の伸び率!X6*0.01)*(VLOOKUP($C$3,ギルド一覧!$B$4:$R$29,16,FALSE)))</f>
        <v>66.482142857142861</v>
      </c>
      <c r="H15" s="201">
        <f>IF($C$4="通常",(VLOOKUP($B$7,'モンスター　一覧'!$B$4:$O$198,14,FALSE)*性格一覧!$G6*Lv50時の伸び率!Y6*0.01)*(VLOOKUP($C$3,ギルド一覧!$B$4:$R$29,11,FALSE)),(VLOOKUP($B$7,'モンスター　一覧'!$B$4:$O$198,14,FALSE)*性格一覧!$G6*Lv50時の伸び率!Y6*0.01)*VLOOKUP($C$3,ギルド一覧!$B$4:$R$29,17,FALSE))</f>
        <v>28</v>
      </c>
      <c r="I15" s="205">
        <f t="shared" si="0"/>
        <v>712.28876316746096</v>
      </c>
      <c r="J15" s="56"/>
      <c r="K15" s="198" t="s">
        <v>316</v>
      </c>
      <c r="L15" s="193">
        <f>IF($L$4="通常",(VLOOKUP($K$7,'モンスター　一覧'!$B$4:$O$198,9,FALSE)*性格一覧!$B6*Lv50時の伸び率!$T6*0.01)*(VLOOKUP($C$3,ギルド一覧!$B$4:$R$29,6,FALSE)),(VLOOKUP($K$7,'モンスター　一覧'!$B$4:$O$198,9,FALSE)*性格一覧!$B6*Lv50時の伸び率!$T6*0.01)*(VLOOKUP($C$3,ギルド一覧!$B$4:$R$29,12,FALSE)))</f>
        <v>181.08108108108109</v>
      </c>
      <c r="M15" s="193">
        <f>IF($L$4="通常",(VLOOKUP($K$7,'モンスター　一覧'!$B$4:$O$198,10,FALSE)*性格一覧!$C6*Lv50時の伸び率!$U6*0.01)*(VLOOKUP($L$3,ギルド一覧!$B$4:$R$29,7,FALSE)),(VLOOKUP($K$7,'モンスター　一覧'!$B$4:$O$198,10,FALSE)*性格一覧!$C6*Lv50時の伸び率!$U6*0.01)*(VLOOKUP($L$3,ギルド一覧!$B$4:$R$29,13,FALSE)))</f>
        <v>129.67741935483872</v>
      </c>
      <c r="N15" s="193">
        <f>IF($L$4="通常",(VLOOKUP($K$7,'モンスター　一覧'!$B$4:$O$198,11,FALSE)*性格一覧!$D6*Lv50時の伸び率!$V6*0.01)*(VLOOKUP($L$3,ギルド一覧!$B$4:$R$29,8,FALSE)),(VLOOKUP($K$7,'モンスター　一覧'!$B$4:$O$198,11,FALSE)*性格一覧!$D6*Lv50時の伸び率!$V6*0.01)*(VLOOKUP($C$3,ギルド一覧!$B$4:$R$29,14,FALSE)))</f>
        <v>167.80487804878049</v>
      </c>
      <c r="O15" s="193">
        <f>IF($L$4="通常",(VLOOKUP($K$7,'モンスター　一覧'!$B$4:$O$198,12,FALSE)*性格一覧!$E6*Lv50時の伸び率!$W6*0.01)*(VLOOKUP($L$3,ギルド一覧!$B$4:$R$29,9,FALSE)),(VLOOKUP($K$7,'モンスター　一覧'!$B$4:$O$198,12,FALSE)*性格一覧!$E6*Lv50時の伸び率!$W6*0.01)*(VLOOKUP($L$3,ギルド一覧!$B$4:$R$29,15,FALSE)))</f>
        <v>225</v>
      </c>
      <c r="P15" s="193">
        <f>IF($L$4="通常",(VLOOKUP($K$7,'モンスター　一覧'!$B$4:$O$198,13,FALSE)*性格一覧!$F6*Lv50時の伸び率!$X6*0.01)*(VLOOKUP($L$3,ギルド一覧!$B$4:$R$29,10,FALSE)),(VLOOKUP($K$7,'モンスター　一覧'!$B$4:$O$198,13,FALSE)*性格一覧!$F6*Lv50時の伸び率!$X6*0.01)*(VLOOKUP($L$3,ギルド一覧!$B$4:$R$29,16,FALSE)))</f>
        <v>148.08571428571429</v>
      </c>
      <c r="Q15" s="194">
        <f>IF($L$4="通常",(VLOOKUP($K$7,'モンスター　一覧'!$B$4:$O$198,14,FALSE)*性格一覧!$G6*Lv50時の伸び率!$Y6*0.01)*(VLOOKUP($L$3,ギルド一覧!$B$4:$R$29,11,FALSE)),(VLOOKUP($K$7,'モンスター　一覧'!$B$4:$O$198,14,FALSE)*性格一覧!$G6*Lv50時の伸び率!$Y6*0.01)*VLOOKUP($L$3,ギルド一覧!$B$4:$R$29,17,FALSE))</f>
        <v>160</v>
      </c>
      <c r="R15" s="205">
        <f t="shared" si="1"/>
        <v>1011.6490927704145</v>
      </c>
      <c r="T15" s="64" t="s">
        <v>316</v>
      </c>
      <c r="U15" s="193">
        <f>IF($U$4="通常",(VLOOKUP($T$7,'モンスター　一覧'!$B$4:$O$198,9,FALSE)*性格一覧!$B6*Lv50時の伸び率!$T6*0.01)*(VLOOKUP($U$3,ギルド一覧!$B$4:$R$29,6,FALSE)),(VLOOKUP($T$7,'モンスター　一覧'!$B$4:$O$198,9,FALSE)*性格一覧!$B6*Lv50時の伸び率!$T6*0.01)*(VLOOKUP($U$3,ギルド一覧!$B$4:$R$29,12,FALSE)))</f>
        <v>289.72972972972974</v>
      </c>
      <c r="V15" s="193">
        <f>IF($T$4="通常",(VLOOKUP($T$7,'モンスター　一覧'!$B$4:$O$198,10,FALSE)*性格一覧!$C6*Lv50時の伸び率!$U6*0.01)*(VLOOKUP($U$3,ギルド一覧!$B$4:$R$29,7,FALSE)),(VLOOKUP($T$7,'モンスター　一覧'!$B$4:$O$198,10,FALSE)*性格一覧!$C6*Lv50時の伸び率!$U6*0.01)*(VLOOKUP($U$3,ギルド一覧!$B$4:$R$29,13,FALSE)))</f>
        <v>164.25806451612902</v>
      </c>
      <c r="W15" s="193">
        <f>IF($U$4="通常",(VLOOKUP($T$7,'モンスター　一覧'!$B$4:$O$198,11,FALSE)*性格一覧!$D6*Lv50時の伸び率!$V6*0.01)*(VLOOKUP($U$3,ギルド一覧!$B$4:$R$29,8,FALSE)),(VLOOKUP($T$7,'モンスター　一覧'!$B$4:$O$198,11,FALSE)*性格一覧!$D6*Lv50時の伸び率!$V6*0.01)*(VLOOKUP($C$3,ギルド一覧!$B$4:$R$29,14,FALSE)))</f>
        <v>148.57723577235774</v>
      </c>
      <c r="X15" s="193">
        <f>IF($U$4="通常",(VLOOKUP($T$7,'モンスター　一覧'!$B$4:$O$198,12,FALSE)*性格一覧!$E6*Lv50時の伸び率!$W6*0.01)*(VLOOKUP($U$3,ギルド一覧!$B$4:$R$29,9,FALSE)),(VLOOKUP($T$7,'モンスター　一覧'!$B$4:$O$198,12,FALSE)*性格一覧!$E6*Lv50時の伸び率!$W6*0.01)*(VLOOKUP($U$3,ギルド一覧!$B$4:$R$29,15,FALSE)))</f>
        <v>160.20000000000002</v>
      </c>
      <c r="Y15" s="193">
        <f>IF($U$4="通常",(VLOOKUP($T$7,'モンスター　一覧'!$B$4:$O$198,13,FALSE)*性格一覧!$F6*Lv50時の伸び率!$X6*0.01)*(VLOOKUP($U$3,ギルド一覧!$B$4:$R$29,10,FALSE)),(VLOOKUP($T$7,'モンスター　一覧'!$B$4:$O$198,13,FALSE)*性格一覧!$F6*Lv50時の伸び率!$X6*0.01)*(VLOOKUP($U$3,ギルド一覧!$B$4:$R$29,16,FALSE)))</f>
        <v>106.89285714285714</v>
      </c>
      <c r="Z15" s="194">
        <f>IF($U$4="通常",(VLOOKUP($T$7,'モンスター　一覧'!$B$4:$O$198,14,FALSE)*性格一覧!$G6*Lv50時の伸び率!$Y6*0.01)*(VLOOKUP($U$3,ギルド一覧!$B$4:$R$29,11,FALSE)),(VLOOKUP($T$7,'モンスター　一覧'!$B$4:$O$198,14,FALSE)*性格一覧!$G6*Lv50時の伸び率!$Y6*0.01)*VLOOKUP($U$3,ギルド一覧!$B$4:$R$29,17,FALSE))</f>
        <v>254</v>
      </c>
      <c r="AA15" s="205">
        <f t="shared" si="2"/>
        <v>1123.6578871610736</v>
      </c>
      <c r="AC15" s="152" t="s">
        <v>201</v>
      </c>
      <c r="AD15" s="235" t="s">
        <v>841</v>
      </c>
    </row>
    <row r="16" spans="1:30" s="55" customFormat="1">
      <c r="B16" s="64" t="s">
        <v>317</v>
      </c>
      <c r="C16" s="193">
        <f>IF($C$4="通常",(VLOOKUP($B$7,'モンスター　一覧'!$B$4:$O$198,9,FALSE)*性格一覧!$B7*Lv50時の伸び率!T7*0.01)*(VLOOKUP($C$3,ギルド一覧!$B$4:$R$29,6,FALSE)),(VLOOKUP($B$7,'モンスター　一覧'!$B$4:$O$198,9,FALSE)*性格一覧!$B7*Lv50時の伸び率!T7*0.01)*(VLOOKUP($C$3,ギルド一覧!$B$4:$R$29,12,FALSE)))</f>
        <v>334.05405405405401</v>
      </c>
      <c r="D16" s="193">
        <f>IF($C$4="通常",(VLOOKUP($B$7,'モンスター　一覧'!$B$4:$O$198,10,FALSE)*性格一覧!$C7*Lv50時の伸び率!U7*0.01)*(VLOOKUP($C$3,ギルド一覧!$B$4:$R$29,7,FALSE)),(VLOOKUP($B$7,'モンスター　一覧'!$B$4:$O$198,10,FALSE)*性格一覧!$C7*Lv50時の伸び率!U7*0.01)*(VLOOKUP($C$3,ギルド一覧!$B$4:$R$29,13,FALSE)))</f>
        <v>46.29032258064516</v>
      </c>
      <c r="E16" s="193">
        <f>IF($C$4="通常",(VLOOKUP($B$7,'モンスター　一覧'!$B$4:$O$198,11,FALSE)*性格一覧!$D7*Lv50時の伸び率!V7*0.01)*(VLOOKUP($C$3,ギルド一覧!$B$4:$R$29,8,FALSE)),(VLOOKUP($B$7,'モンスター　一覧'!$B$4:$O$198,11,FALSE)*性格一覧!$D7*Lv50時の伸び率!V7*0.01)*(VLOOKUP($C$3,ギルド一覧!$B$4:$R$29,14,FALSE)))</f>
        <v>233.10569105691056</v>
      </c>
      <c r="F16" s="193">
        <f>IF($C$4="通常",(VLOOKUP($B$7,'モンスター　一覧'!$B$4:$O$198,12,FALSE)*性格一覧!$E7*Lv50時の伸び率!W7*0.01)*(VLOOKUP($C$3,ギルド一覧!$B$4:$R$29,9,FALSE)),(VLOOKUP($B$7,'モンスター　一覧'!$B$4:$O$198,12,FALSE)*性格一覧!$E7*Lv50時の伸び率!W7*0.01)*(VLOOKUP($C$3,ギルド一覧!$B$4:$R$29,15,FALSE)))</f>
        <v>58.854545454545452</v>
      </c>
      <c r="G16" s="193">
        <f>IF($C$4="通常",(VLOOKUP($B$7,'モンスター　一覧'!$B$4:$O$198,13,FALSE)*性格一覧!$F7*Lv50時の伸び率!X7*0.01)*(VLOOKUP($C$3,ギルド一覧!$B$4:$R$29,10,FALSE)),(VLOOKUP($B$7,'モンスター　一覧'!$B$4:$O$198,13,FALSE)*性格一覧!$F7*Lv50時の伸び率!X7*0.01)*(VLOOKUP($C$3,ギルド一覧!$B$4:$R$29,16,FALSE)))</f>
        <v>95.625</v>
      </c>
      <c r="H16" s="201">
        <f>IF($C$4="通常",(VLOOKUP($B$7,'モンスター　一覧'!$B$4:$O$198,14,FALSE)*性格一覧!$G7*Lv50時の伸び率!Y7*0.01)*(VLOOKUP($C$3,ギルド一覧!$B$4:$R$29,11,FALSE)),(VLOOKUP($B$7,'モンスター　一覧'!$B$4:$O$198,14,FALSE)*性格一覧!$G7*Lv50時の伸び率!Y7*0.01)*VLOOKUP($C$3,ギルド一覧!$B$4:$R$29,17,FALSE))</f>
        <v>25.878787878787875</v>
      </c>
      <c r="I16" s="205">
        <f t="shared" si="0"/>
        <v>793.80840102494312</v>
      </c>
      <c r="J16" s="56"/>
      <c r="K16" s="198" t="s">
        <v>317</v>
      </c>
      <c r="L16" s="193">
        <f>IF($L$4="通常",(VLOOKUP($K$7,'モンスター　一覧'!$B$4:$O$198,9,FALSE)*性格一覧!$B7*Lv50時の伸び率!$T7*0.01)*(VLOOKUP($C$3,ギルド一覧!$B$4:$R$29,6,FALSE)),(VLOOKUP($K$7,'モンスター　一覧'!$B$4:$O$198,9,FALSE)*性格一覧!$B7*Lv50時の伸び率!$T7*0.01)*(VLOOKUP($C$3,ギルド一覧!$B$4:$R$29,12,FALSE)))</f>
        <v>222.70270270270268</v>
      </c>
      <c r="M16" s="193">
        <f>IF($L$4="通常",(VLOOKUP($K$7,'モンスター　一覧'!$B$4:$O$198,10,FALSE)*性格一覧!$C7*Lv50時の伸び率!$U7*0.01)*(VLOOKUP($L$3,ギルド一覧!$B$4:$R$29,7,FALSE)),(VLOOKUP($K$7,'モンスター　一覧'!$B$4:$O$198,10,FALSE)*性格一覧!$C7*Lv50時の伸び率!$U7*0.01)*(VLOOKUP($L$3,ギルド一覧!$B$4:$R$29,13,FALSE)))</f>
        <v>79.354838709677423</v>
      </c>
      <c r="N16" s="193">
        <f>IF($L$4="通常",(VLOOKUP($K$7,'モンスター　一覧'!$B$4:$O$198,11,FALSE)*性格一覧!$D7*Lv50時の伸び率!$V7*0.01)*(VLOOKUP($L$3,ギルド一覧!$B$4:$R$29,8,FALSE)),(VLOOKUP($K$7,'モンスター　一覧'!$B$4:$O$198,11,FALSE)*性格一覧!$D7*Lv50時の伸び率!$V7*0.01)*(VLOOKUP($C$3,ギルド一覧!$B$4:$R$29,14,FALSE)))</f>
        <v>174.82926829268294</v>
      </c>
      <c r="O16" s="193">
        <f>IF($L$4="通常",(VLOOKUP($K$7,'モンスター　一覧'!$B$4:$O$198,12,FALSE)*性格一覧!$E7*Lv50時の伸び率!$W7*0.01)*(VLOOKUP($L$3,ギルド一覧!$B$4:$R$29,9,FALSE)),(VLOOKUP($K$7,'モンスター　一覧'!$B$4:$O$198,12,FALSE)*性格一覧!$E7*Lv50時の伸び率!$W7*0.01)*(VLOOKUP($L$3,ギルド一覧!$B$4:$R$29,15,FALSE)))</f>
        <v>282.95454545454544</v>
      </c>
      <c r="P16" s="193">
        <f>IF($L$4="通常",(VLOOKUP($K$7,'モンスター　一覧'!$B$4:$O$198,13,FALSE)*性格一覧!$F7*Lv50時の伸び率!$X7*0.01)*(VLOOKUP($L$3,ギルド一覧!$B$4:$R$29,10,FALSE)),(VLOOKUP($K$7,'モンスター　一覧'!$B$4:$O$198,13,FALSE)*性格一覧!$F7*Lv50時の伸び率!$X7*0.01)*(VLOOKUP($L$3,ギルド一覧!$B$4:$R$29,16,FALSE)))</f>
        <v>213</v>
      </c>
      <c r="Q16" s="194">
        <f>IF($L$4="通常",(VLOOKUP($K$7,'モンスター　一覧'!$B$4:$O$198,14,FALSE)*性格一覧!$G7*Lv50時の伸び率!$Y7*0.01)*(VLOOKUP($L$3,ギルド一覧!$B$4:$R$29,11,FALSE)),(VLOOKUP($K$7,'モンスター　一覧'!$B$4:$O$198,14,FALSE)*性格一覧!$G7*Lv50時の伸び率!$Y7*0.01)*VLOOKUP($L$3,ギルド一覧!$B$4:$R$29,17,FALSE))</f>
        <v>147.87878787878788</v>
      </c>
      <c r="R16" s="205">
        <f t="shared" si="1"/>
        <v>1120.7201430383961</v>
      </c>
      <c r="T16" s="64" t="s">
        <v>317</v>
      </c>
      <c r="U16" s="193">
        <f>IF($U$4="通常",(VLOOKUP($T$7,'モンスター　一覧'!$B$4:$O$198,9,FALSE)*性格一覧!$B7*Lv50時の伸び率!$T7*0.01)*(VLOOKUP($U$3,ギルド一覧!$B$4:$R$29,6,FALSE)),(VLOOKUP($T$7,'モンスター　一覧'!$B$4:$O$198,9,FALSE)*性格一覧!$B7*Lv50時の伸び率!$T7*0.01)*(VLOOKUP($U$3,ギルド一覧!$B$4:$R$29,12,FALSE)))</f>
        <v>356.32432432432427</v>
      </c>
      <c r="V16" s="193">
        <f>IF($T$4="通常",(VLOOKUP($T$7,'モンスター　一覧'!$B$4:$O$198,10,FALSE)*性格一覧!$C7*Lv50時の伸び率!$U7*0.01)*(VLOOKUP($U$3,ギルド一覧!$B$4:$R$29,7,FALSE)),(VLOOKUP($T$7,'モンスター　一覧'!$B$4:$O$198,10,FALSE)*性格一覧!$C7*Lv50時の伸び率!$U7*0.01)*(VLOOKUP($U$3,ギルド一覧!$B$4:$R$29,13,FALSE)))</f>
        <v>100.51612903225805</v>
      </c>
      <c r="W16" s="193">
        <f>IF($U$4="通常",(VLOOKUP($T$7,'モンスター　一覧'!$B$4:$O$198,11,FALSE)*性格一覧!$D7*Lv50時の伸び率!$V7*0.01)*(VLOOKUP($U$3,ギルド一覧!$B$4:$R$29,8,FALSE)),(VLOOKUP($T$7,'モンスター　一覧'!$B$4:$O$198,11,FALSE)*性格一覧!$D7*Lv50時の伸び率!$V7*0.01)*(VLOOKUP($C$3,ギルド一覧!$B$4:$R$29,14,FALSE)))</f>
        <v>154.79674796747966</v>
      </c>
      <c r="X16" s="193">
        <f>IF($U$4="通常",(VLOOKUP($T$7,'モンスター　一覧'!$B$4:$O$198,12,FALSE)*性格一覧!$E7*Lv50時の伸び率!$W7*0.01)*(VLOOKUP($U$3,ギルド一覧!$B$4:$R$29,9,FALSE)),(VLOOKUP($T$7,'モンスター　一覧'!$B$4:$O$198,12,FALSE)*性格一覧!$E7*Lv50時の伸び率!$W7*0.01)*(VLOOKUP($U$3,ギルド一覧!$B$4:$R$29,15,FALSE)))</f>
        <v>201.46363636363637</v>
      </c>
      <c r="Y16" s="193">
        <f>IF($U$4="通常",(VLOOKUP($T$7,'モンスター　一覧'!$B$4:$O$198,13,FALSE)*性格一覧!$F7*Lv50時の伸び率!$X7*0.01)*(VLOOKUP($U$3,ギルド一覧!$B$4:$R$29,10,FALSE)),(VLOOKUP($T$7,'モンスター　一覧'!$B$4:$O$198,13,FALSE)*性格一覧!$F7*Lv50時の伸び率!$X7*0.01)*(VLOOKUP($U$3,ギルド一覧!$B$4:$R$29,16,FALSE)))</f>
        <v>153.75</v>
      </c>
      <c r="Z16" s="194">
        <f>IF($U$4="通常",(VLOOKUP($T$7,'モンスター　一覧'!$B$4:$O$198,14,FALSE)*性格一覧!$G7*Lv50時の伸び率!$Y7*0.01)*(VLOOKUP($U$3,ギルド一覧!$B$4:$R$29,11,FALSE)),(VLOOKUP($T$7,'モンスター　一覧'!$B$4:$O$198,14,FALSE)*性格一覧!$G7*Lv50時の伸び率!$Y7*0.01)*VLOOKUP($U$3,ギルド一覧!$B$4:$R$29,17,FALSE))</f>
        <v>234.75757575757572</v>
      </c>
      <c r="AA16" s="205">
        <f t="shared" si="2"/>
        <v>1201.608413445274</v>
      </c>
      <c r="AC16" s="152" t="s">
        <v>155</v>
      </c>
      <c r="AD16" s="235" t="s">
        <v>842</v>
      </c>
    </row>
    <row r="17" spans="2:30" s="55" customFormat="1">
      <c r="B17" s="64" t="s">
        <v>21</v>
      </c>
      <c r="C17" s="193">
        <f>IF($C$4="通常",(VLOOKUP($B$7,'モンスター　一覧'!$B$4:$O$198,9,FALSE)*性格一覧!$B8*Lv50時の伸び率!T8*0.01)*(VLOOKUP($C$3,ギルド一覧!$B$4:$R$29,6,FALSE)),(VLOOKUP($B$7,'モンスター　一覧'!$B$4:$O$198,9,FALSE)*性格一覧!$B8*Lv50時の伸び率!T8*0.01)*(VLOOKUP($C$3,ギルド一覧!$B$4:$R$29,12,FALSE)))</f>
        <v>359.03225806451616</v>
      </c>
      <c r="D17" s="193">
        <f>IF($C$4="通常",(VLOOKUP($B$7,'モンスター　一覧'!$B$4:$O$198,10,FALSE)*性格一覧!$C8*Lv50時の伸び率!U8*0.01)*(VLOOKUP($C$3,ギルド一覧!$B$4:$R$29,7,FALSE)),(VLOOKUP($B$7,'モンスター　一覧'!$B$4:$O$198,10,FALSE)*性格一覧!$C8*Lv50時の伸び率!U8*0.01)*(VLOOKUP($C$3,ギルド一覧!$B$4:$R$29,13,FALSE)))</f>
        <v>70</v>
      </c>
      <c r="E17" s="193">
        <f>IF($C$4="通常",(VLOOKUP($B$7,'モンスター　一覧'!$B$4:$O$198,11,FALSE)*性格一覧!$D8*Lv50時の伸び率!V8*0.01)*(VLOOKUP($C$3,ギルド一覧!$B$4:$R$29,8,FALSE)),(VLOOKUP($B$7,'モンスター　一覧'!$B$4:$O$198,11,FALSE)*性格一覧!$D8*Lv50時の伸び率!V8*0.01)*(VLOOKUP($C$3,ギルド一覧!$B$4:$R$29,14,FALSE)))</f>
        <v>235.52</v>
      </c>
      <c r="F17" s="193">
        <f>IF($C$4="通常",(VLOOKUP($B$7,'モンスター　一覧'!$B$4:$O$198,12,FALSE)*性格一覧!$E8*Lv50時の伸び率!W8*0.01)*(VLOOKUP($C$3,ギルド一覧!$B$4:$R$29,9,FALSE)),(VLOOKUP($B$7,'モンスター　一覧'!$B$4:$O$198,12,FALSE)*性格一覧!$E8*Lv50時の伸び率!W8*0.01)*(VLOOKUP($C$3,ギルド一覧!$B$4:$R$29,15,FALSE)))</f>
        <v>48.454545454545453</v>
      </c>
      <c r="G17" s="193">
        <f>IF($C$4="通常",(VLOOKUP($B$7,'モンスター　一覧'!$B$4:$O$198,13,FALSE)*性格一覧!$F8*Lv50時の伸び率!X8*0.01)*(VLOOKUP($C$3,ギルド一覧!$B$4:$R$29,10,FALSE)),(VLOOKUP($B$7,'モンスター　一覧'!$B$4:$O$198,13,FALSE)*性格一覧!$F8*Lv50時の伸び率!X8*0.01)*(VLOOKUP($C$3,ギルド一覧!$B$4:$R$29,16,FALSE)))</f>
        <v>108.30927835051546</v>
      </c>
      <c r="H17" s="201">
        <f>IF($C$4="通常",(VLOOKUP($B$7,'モンスター　一覧'!$B$4:$O$198,14,FALSE)*性格一覧!$G8*Lv50時の伸び率!Y8*0.01)*(VLOOKUP($C$3,ギルド一覧!$B$4:$R$29,11,FALSE)),(VLOOKUP($B$7,'モンスター　一覧'!$B$4:$O$198,14,FALSE)*性格一覧!$G8*Lv50時の伸び率!Y8*0.01)*VLOOKUP($C$3,ギルド一覧!$B$4:$R$29,17,FALSE))</f>
        <v>24.117647058823529</v>
      </c>
      <c r="I17" s="205">
        <f t="shared" si="0"/>
        <v>845.43372892840068</v>
      </c>
      <c r="J17" s="56"/>
      <c r="K17" s="198" t="s">
        <v>21</v>
      </c>
      <c r="L17" s="193">
        <f>IF($L$4="通常",(VLOOKUP($K$7,'モンスター　一覧'!$B$4:$O$198,9,FALSE)*性格一覧!$B8*Lv50時の伸び率!$T8*0.01)*(VLOOKUP($C$3,ギルド一覧!$B$4:$R$29,6,FALSE)),(VLOOKUP($K$7,'モンスター　一覧'!$B$4:$O$198,9,FALSE)*性格一覧!$B8*Lv50時の伸び率!$T8*0.01)*(VLOOKUP($C$3,ギルド一覧!$B$4:$R$29,12,FALSE)))</f>
        <v>239.35483870967744</v>
      </c>
      <c r="M17" s="193">
        <f>IF($L$4="通常",(VLOOKUP($K$7,'モンスター　一覧'!$B$4:$O$198,10,FALSE)*性格一覧!$C8*Lv50時の伸び率!$U8*0.01)*(VLOOKUP($L$3,ギルド一覧!$B$4:$R$29,7,FALSE)),(VLOOKUP($K$7,'モンスター　一覧'!$B$4:$O$198,10,FALSE)*性格一覧!$C8*Lv50時の伸び率!$U8*0.01)*(VLOOKUP($L$3,ギルド一覧!$B$4:$R$29,13,FALSE)))</f>
        <v>120</v>
      </c>
      <c r="N17" s="193">
        <f>IF($L$4="通常",(VLOOKUP($K$7,'モンスター　一覧'!$B$4:$O$198,11,FALSE)*性格一覧!$D8*Lv50時の伸び率!$V8*0.01)*(VLOOKUP($L$3,ギルド一覧!$B$4:$R$29,8,FALSE)),(VLOOKUP($K$7,'モンスター　一覧'!$B$4:$O$198,11,FALSE)*性格一覧!$D8*Lv50時の伸び率!$V8*0.01)*(VLOOKUP($C$3,ギルド一覧!$B$4:$R$29,14,FALSE)))</f>
        <v>176.64000000000001</v>
      </c>
      <c r="O17" s="193">
        <f>IF($L$4="通常",(VLOOKUP($K$7,'モンスター　一覧'!$B$4:$O$198,12,FALSE)*性格一覧!$E8*Lv50時の伸び率!$W8*0.01)*(VLOOKUP($L$3,ギルド一覧!$B$4:$R$29,9,FALSE)),(VLOOKUP($K$7,'モンスター　一覧'!$B$4:$O$198,12,FALSE)*性格一覧!$E8*Lv50時の伸び率!$W8*0.01)*(VLOOKUP($L$3,ギルド一覧!$B$4:$R$29,15,FALSE)))</f>
        <v>232.95454545454544</v>
      </c>
      <c r="P17" s="193">
        <f>IF($L$4="通常",(VLOOKUP($K$7,'モンスター　一覧'!$B$4:$O$198,13,FALSE)*性格一覧!$F8*Lv50時の伸び率!$X8*0.01)*(VLOOKUP($L$3,ギルド一覧!$B$4:$R$29,10,FALSE)),(VLOOKUP($K$7,'モンスター　一覧'!$B$4:$O$198,13,FALSE)*性格一覧!$F8*Lv50時の伸び率!$X8*0.01)*(VLOOKUP($L$3,ギルド一覧!$B$4:$R$29,16,FALSE)))</f>
        <v>241.2536082474227</v>
      </c>
      <c r="Q17" s="194">
        <f>IF($L$4="通常",(VLOOKUP($K$7,'モンスター　一覧'!$B$4:$O$198,14,FALSE)*性格一覧!$G8*Lv50時の伸び率!$Y8*0.01)*(VLOOKUP($L$3,ギルド一覧!$B$4:$R$29,11,FALSE)),(VLOOKUP($K$7,'モンスター　一覧'!$B$4:$O$198,14,FALSE)*性格一覧!$G8*Lv50時の伸び率!$Y8*0.01)*VLOOKUP($L$3,ギルド一覧!$B$4:$R$29,17,FALSE))</f>
        <v>137.81512605042016</v>
      </c>
      <c r="R17" s="205">
        <f t="shared" si="1"/>
        <v>1148.0181184620658</v>
      </c>
      <c r="T17" s="64" t="s">
        <v>21</v>
      </c>
      <c r="U17" s="193">
        <f>IF($U$4="通常",(VLOOKUP($T$7,'モンスター　一覧'!$B$4:$O$198,9,FALSE)*性格一覧!$B8*Lv50時の伸び率!$T8*0.01)*(VLOOKUP($U$3,ギルド一覧!$B$4:$R$29,6,FALSE)),(VLOOKUP($T$7,'モンスター　一覧'!$B$4:$O$198,9,FALSE)*性格一覧!$B8*Lv50時の伸び率!$T8*0.01)*(VLOOKUP($U$3,ギルド一覧!$B$4:$R$29,12,FALSE)))</f>
        <v>382.9677419354839</v>
      </c>
      <c r="V17" s="193">
        <f>IF($T$4="通常",(VLOOKUP($T$7,'モンスター　一覧'!$B$4:$O$198,10,FALSE)*性格一覧!$C8*Lv50時の伸び率!$U8*0.01)*(VLOOKUP($U$3,ギルド一覧!$B$4:$R$29,7,FALSE)),(VLOOKUP($T$7,'モンスター　一覧'!$B$4:$O$198,10,FALSE)*性格一覧!$C8*Lv50時の伸び率!$U8*0.01)*(VLOOKUP($U$3,ギルド一覧!$B$4:$R$29,13,FALSE)))</f>
        <v>152</v>
      </c>
      <c r="W17" s="193">
        <f>IF($U$4="通常",(VLOOKUP($T$7,'モンスター　一覧'!$B$4:$O$198,11,FALSE)*性格一覧!$D8*Lv50時の伸び率!$V8*0.01)*(VLOOKUP($U$3,ギルド一覧!$B$4:$R$29,8,FALSE)),(VLOOKUP($T$7,'モンスター　一覧'!$B$4:$O$198,11,FALSE)*性格一覧!$D8*Lv50時の伸び率!$V8*0.01)*(VLOOKUP($C$3,ギルド一覧!$B$4:$R$29,14,FALSE)))</f>
        <v>156.4</v>
      </c>
      <c r="X17" s="193">
        <f>IF($U$4="通常",(VLOOKUP($T$7,'モンスター　一覧'!$B$4:$O$198,12,FALSE)*性格一覧!$E8*Lv50時の伸び率!$W8*0.01)*(VLOOKUP($U$3,ギルド一覧!$B$4:$R$29,9,FALSE)),(VLOOKUP($T$7,'モンスター　一覧'!$B$4:$O$198,12,FALSE)*性格一覧!$E8*Lv50時の伸び率!$W8*0.01)*(VLOOKUP($U$3,ギルド一覧!$B$4:$R$29,15,FALSE)))</f>
        <v>165.86363636363637</v>
      </c>
      <c r="Y17" s="193">
        <f>IF($U$4="通常",(VLOOKUP($T$7,'モンスター　一覧'!$B$4:$O$198,13,FALSE)*性格一覧!$F8*Lv50時の伸び率!$X8*0.01)*(VLOOKUP($U$3,ギルド一覧!$B$4:$R$29,10,FALSE)),(VLOOKUP($T$7,'モンスター　一覧'!$B$4:$O$198,13,FALSE)*性格一覧!$F8*Lv50時の伸び率!$X8*0.01)*(VLOOKUP($U$3,ギルド一覧!$B$4:$R$29,16,FALSE)))</f>
        <v>174.14432989690724</v>
      </c>
      <c r="Z17" s="194">
        <f>IF($U$4="通常",(VLOOKUP($T$7,'モンスター　一覧'!$B$4:$O$198,14,FALSE)*性格一覧!$G8*Lv50時の伸び率!$Y8*0.01)*(VLOOKUP($U$3,ギルド一覧!$B$4:$R$29,11,FALSE)),(VLOOKUP($T$7,'モンスター　一覧'!$B$4:$O$198,14,FALSE)*性格一覧!$G8*Lv50時の伸び率!$Y8*0.01)*VLOOKUP($U$3,ギルド一覧!$B$4:$R$29,17,FALSE))</f>
        <v>218.78151260504202</v>
      </c>
      <c r="AA17" s="205">
        <f t="shared" si="2"/>
        <v>1250.1572208010696</v>
      </c>
      <c r="AC17" s="152" t="s">
        <v>133</v>
      </c>
      <c r="AD17" s="235" t="s">
        <v>843</v>
      </c>
    </row>
    <row r="18" spans="2:30" s="55" customFormat="1">
      <c r="B18" s="64" t="s">
        <v>22</v>
      </c>
      <c r="C18" s="193">
        <f>IF($C$4="通常",(VLOOKUP($B$7,'モンスター　一覧'!$B$4:$O$198,9,FALSE)*性格一覧!$B9*Lv50時の伸び率!T9*0.01)*(VLOOKUP($C$3,ギルド一覧!$B$4:$R$29,6,FALSE)),(VLOOKUP($B$7,'モンスター　一覧'!$B$4:$O$198,9,FALSE)*性格一覧!$B9*Lv50時の伸び率!T9*0.01)*(VLOOKUP($C$3,ギルド一覧!$B$4:$R$29,12,FALSE)))</f>
        <v>354.19354838709677</v>
      </c>
      <c r="D18" s="193">
        <f>IF($C$4="通常",(VLOOKUP($B$7,'モンスター　一覧'!$B$4:$O$198,10,FALSE)*性格一覧!$C9*Lv50時の伸び率!U9*0.01)*(VLOOKUP($C$3,ギルド一覧!$B$4:$R$29,7,FALSE)),(VLOOKUP($B$7,'モンスター　一覧'!$B$4:$O$198,10,FALSE)*性格一覧!$C9*Lv50時の伸び率!U9*0.01)*(VLOOKUP($C$3,ギルド一覧!$B$4:$R$29,13,FALSE)))</f>
        <v>57.421875</v>
      </c>
      <c r="E18" s="193">
        <f>IF($C$4="通常",(VLOOKUP($B$7,'モンスター　一覧'!$B$4:$O$198,11,FALSE)*性格一覧!$D9*Lv50時の伸び率!V9*0.01)*(VLOOKUP($C$3,ギルド一覧!$B$4:$R$29,8,FALSE)),(VLOOKUP($B$7,'モンスター　一覧'!$B$4:$O$198,11,FALSE)*性格一覧!$D9*Lv50時の伸び率!V9*0.01)*(VLOOKUP($C$3,ギルド一覧!$B$4:$R$29,14,FALSE)))</f>
        <v>232.10666666666665</v>
      </c>
      <c r="F18" s="193">
        <f>IF($C$4="通常",(VLOOKUP($B$7,'モンスター　一覧'!$B$4:$O$198,12,FALSE)*性格一覧!$E9*Lv50時の伸び率!W9*0.01)*(VLOOKUP($C$3,ギルド一覧!$B$4:$R$29,9,FALSE)),(VLOOKUP($B$7,'モンスター　一覧'!$B$4:$O$198,12,FALSE)*性格一覧!$E9*Lv50時の伸び率!W9*0.01)*(VLOOKUP($C$3,ギルド一覧!$B$4:$R$29,15,FALSE)))</f>
        <v>44.2</v>
      </c>
      <c r="G18" s="193">
        <f>IF($C$4="通常",(VLOOKUP($B$7,'モンスター　一覧'!$B$4:$O$198,13,FALSE)*性格一覧!$F9*Lv50時の伸び率!X9*0.01)*(VLOOKUP($C$3,ギルド一覧!$B$4:$R$29,10,FALSE)),(VLOOKUP($B$7,'モンスター　一覧'!$B$4:$O$198,13,FALSE)*性格一覧!$F9*Lv50時の伸び率!X9*0.01)*(VLOOKUP($C$3,ギルド一覧!$B$4:$R$29,16,FALSE)))</f>
        <v>105.15463917525773</v>
      </c>
      <c r="H18" s="201">
        <f>IF($C$4="通常",(VLOOKUP($B$7,'モンスター　一覧'!$B$4:$O$198,14,FALSE)*性格一覧!$G9*Lv50時の伸び率!Y9*0.01)*(VLOOKUP($C$3,ギルド一覧!$B$4:$R$29,11,FALSE)),(VLOOKUP($B$7,'モンスター　一覧'!$B$4:$O$198,14,FALSE)*性格一覧!$G9*Lv50時の伸び率!Y9*0.01)*VLOOKUP($C$3,ギルド一覧!$B$4:$R$29,17,FALSE))</f>
        <v>19.764705882352938</v>
      </c>
      <c r="I18" s="205">
        <f t="shared" si="0"/>
        <v>812.84143511137404</v>
      </c>
      <c r="J18" s="56"/>
      <c r="K18" s="198" t="s">
        <v>22</v>
      </c>
      <c r="L18" s="193">
        <f>IF($L$4="通常",(VLOOKUP($K$7,'モンスター　一覧'!$B$4:$O$198,9,FALSE)*性格一覧!$B9*Lv50時の伸び率!$T9*0.01)*(VLOOKUP($C$3,ギルド一覧!$B$4:$R$29,6,FALSE)),(VLOOKUP($K$7,'モンスター　一覧'!$B$4:$O$198,9,FALSE)*性格一覧!$B9*Lv50時の伸び率!$T9*0.01)*(VLOOKUP($C$3,ギルド一覧!$B$4:$R$29,12,FALSE)))</f>
        <v>236.12903225806451</v>
      </c>
      <c r="M18" s="193">
        <f>IF($L$4="通常",(VLOOKUP($K$7,'モンスター　一覧'!$B$4:$O$198,10,FALSE)*性格一覧!$C9*Lv50時の伸び率!$U9*0.01)*(VLOOKUP($L$3,ギルド一覧!$B$4:$R$29,7,FALSE)),(VLOOKUP($K$7,'モンスター　一覧'!$B$4:$O$198,10,FALSE)*性格一覧!$C9*Lv50時の伸び率!$U9*0.01)*(VLOOKUP($L$3,ギルド一覧!$B$4:$R$29,13,FALSE)))</f>
        <v>98.4375</v>
      </c>
      <c r="N18" s="193">
        <f>IF($L$4="通常",(VLOOKUP($K$7,'モンスター　一覧'!$B$4:$O$198,11,FALSE)*性格一覧!$D9*Lv50時の伸び率!$V9*0.01)*(VLOOKUP($L$3,ギルド一覧!$B$4:$R$29,8,FALSE)),(VLOOKUP($K$7,'モンスター　一覧'!$B$4:$O$198,11,FALSE)*性格一覧!$D9*Lv50時の伸び率!$V9*0.01)*(VLOOKUP($C$3,ギルド一覧!$B$4:$R$29,14,FALSE)))</f>
        <v>174.08</v>
      </c>
      <c r="O18" s="193">
        <f>IF($L$4="通常",(VLOOKUP($K$7,'モンスター　一覧'!$B$4:$O$198,12,FALSE)*性格一覧!$E9*Lv50時の伸び率!$W9*0.01)*(VLOOKUP($L$3,ギルド一覧!$B$4:$R$29,9,FALSE)),(VLOOKUP($K$7,'モンスター　一覧'!$B$4:$O$198,12,FALSE)*性格一覧!$E9*Lv50時の伸び率!$W9*0.01)*(VLOOKUP($L$3,ギルド一覧!$B$4:$R$29,15,FALSE)))</f>
        <v>212.5</v>
      </c>
      <c r="P18" s="193">
        <f>IF($L$4="通常",(VLOOKUP($K$7,'モンスター　一覧'!$B$4:$O$198,13,FALSE)*性格一覧!$F9*Lv50時の伸び率!$X9*0.01)*(VLOOKUP($L$3,ギルド一覧!$B$4:$R$29,10,FALSE)),(VLOOKUP($K$7,'モンスター　一覧'!$B$4:$O$198,13,FALSE)*性格一覧!$F9*Lv50時の伸び率!$X9*0.01)*(VLOOKUP($L$3,ギルド一覧!$B$4:$R$29,16,FALSE)))</f>
        <v>234.22680412371133</v>
      </c>
      <c r="Q18" s="194">
        <f>IF($L$4="通常",(VLOOKUP($K$7,'モンスター　一覧'!$B$4:$O$198,14,FALSE)*性格一覧!$G9*Lv50時の伸び率!$Y9*0.01)*(VLOOKUP($L$3,ギルド一覧!$B$4:$R$29,11,FALSE)),(VLOOKUP($K$7,'モンスター　一覧'!$B$4:$O$198,14,FALSE)*性格一覧!$G9*Lv50時の伸び率!$Y9*0.01)*VLOOKUP($L$3,ギルド一覧!$B$4:$R$29,17,FALSE))</f>
        <v>112.94117647058822</v>
      </c>
      <c r="R18" s="205">
        <f t="shared" si="1"/>
        <v>1068.314512852364</v>
      </c>
      <c r="T18" s="64" t="s">
        <v>22</v>
      </c>
      <c r="U18" s="193">
        <f>IF($U$4="通常",(VLOOKUP($T$7,'モンスター　一覧'!$B$4:$O$198,9,FALSE)*性格一覧!$B9*Lv50時の伸び率!$T9*0.01)*(VLOOKUP($U$3,ギルド一覧!$B$4:$R$29,6,FALSE)),(VLOOKUP($T$7,'モンスター　一覧'!$B$4:$O$198,9,FALSE)*性格一覧!$B9*Lv50時の伸び率!$T9*0.01)*(VLOOKUP($U$3,ギルド一覧!$B$4:$R$29,12,FALSE)))</f>
        <v>377.80645161290317</v>
      </c>
      <c r="V18" s="193">
        <f>IF($T$4="通常",(VLOOKUP($T$7,'モンスター　一覧'!$B$4:$O$198,10,FALSE)*性格一覧!$C9*Lv50時の伸び率!$U9*0.01)*(VLOOKUP($U$3,ギルド一覧!$B$4:$R$29,7,FALSE)),(VLOOKUP($T$7,'モンスター　一覧'!$B$4:$O$198,10,FALSE)*性格一覧!$C9*Lv50時の伸び率!$U9*0.01)*(VLOOKUP($U$3,ギルド一覧!$B$4:$R$29,13,FALSE)))</f>
        <v>124.6875</v>
      </c>
      <c r="W18" s="193">
        <f>IF($U$4="通常",(VLOOKUP($T$7,'モンスター　一覧'!$B$4:$O$198,11,FALSE)*性格一覧!$D9*Lv50時の伸び率!$V9*0.01)*(VLOOKUP($U$3,ギルド一覧!$B$4:$R$29,8,FALSE)),(VLOOKUP($T$7,'モンスター　一覧'!$B$4:$O$198,11,FALSE)*性格一覧!$D9*Lv50時の伸び率!$V9*0.01)*(VLOOKUP($C$3,ギルド一覧!$B$4:$R$29,14,FALSE)))</f>
        <v>154.13333333333333</v>
      </c>
      <c r="X18" s="193">
        <f>IF($U$4="通常",(VLOOKUP($T$7,'モンスター　一覧'!$B$4:$O$198,12,FALSE)*性格一覧!$E9*Lv50時の伸び率!$W9*0.01)*(VLOOKUP($U$3,ギルド一覧!$B$4:$R$29,9,FALSE)),(VLOOKUP($T$7,'モンスター　一覧'!$B$4:$O$198,12,FALSE)*性格一覧!$E9*Lv50時の伸び率!$W9*0.01)*(VLOOKUP($U$3,ギルド一覧!$B$4:$R$29,15,FALSE)))</f>
        <v>151.30000000000001</v>
      </c>
      <c r="Y18" s="193">
        <f>IF($U$4="通常",(VLOOKUP($T$7,'モンスター　一覧'!$B$4:$O$198,13,FALSE)*性格一覧!$F9*Lv50時の伸び率!$X9*0.01)*(VLOOKUP($U$3,ギルド一覧!$B$4:$R$29,10,FALSE)),(VLOOKUP($T$7,'モンスター　一覧'!$B$4:$O$198,13,FALSE)*性格一覧!$F9*Lv50時の伸び率!$X9*0.01)*(VLOOKUP($U$3,ギルド一覧!$B$4:$R$29,16,FALSE)))</f>
        <v>169.0721649484536</v>
      </c>
      <c r="Z18" s="194">
        <f>IF($U$4="通常",(VLOOKUP($T$7,'モンスター　一覧'!$B$4:$O$198,14,FALSE)*性格一覧!$G9*Lv50時の伸び率!$Y9*0.01)*(VLOOKUP($U$3,ギルド一覧!$B$4:$R$29,11,FALSE)),(VLOOKUP($T$7,'モンスター　一覧'!$B$4:$O$198,14,FALSE)*性格一覧!$G9*Lv50時の伸び率!$Y9*0.01)*VLOOKUP($U$3,ギルド一覧!$B$4:$R$29,17,FALSE))</f>
        <v>179.29411764705881</v>
      </c>
      <c r="AA18" s="205">
        <f t="shared" si="2"/>
        <v>1156.2935675417491</v>
      </c>
      <c r="AC18" s="152" t="s">
        <v>127</v>
      </c>
      <c r="AD18" s="235" t="s">
        <v>844</v>
      </c>
    </row>
    <row r="19" spans="2:30" s="55" customFormat="1">
      <c r="B19" s="64" t="s">
        <v>23</v>
      </c>
      <c r="C19" s="193">
        <f>IF($C$4="通常",(VLOOKUP($B$7,'モンスター　一覧'!$B$4:$O$198,9,FALSE)*性格一覧!$B10*Lv50時の伸び率!T10*0.01)*(VLOOKUP($C$3,ギルド一覧!$B$4:$R$29,6,FALSE)),(VLOOKUP($B$7,'モンスター　一覧'!$B$4:$O$198,9,FALSE)*性格一覧!$B10*Lv50時の伸び率!T10*0.01)*(VLOOKUP($C$3,ギルド一覧!$B$4:$R$29,12,FALSE)))</f>
        <v>380.2702702702702</v>
      </c>
      <c r="D19" s="193">
        <f>IF($C$4="通常",(VLOOKUP($B$7,'モンスター　一覧'!$B$4:$O$198,10,FALSE)*性格一覧!$C10*Lv50時の伸び率!U10*0.01)*(VLOOKUP($C$3,ギルド一覧!$B$4:$R$29,7,FALSE)),(VLOOKUP($B$7,'モンスター　一覧'!$B$4:$O$198,10,FALSE)*性格一覧!$C10*Lv50時の伸び率!U10*0.01)*(VLOOKUP($C$3,ギルド一覧!$B$4:$R$29,13,FALSE)))</f>
        <v>55.322580645161288</v>
      </c>
      <c r="E19" s="193">
        <f>IF($C$4="通常",(VLOOKUP($B$7,'モンスター　一覧'!$B$4:$O$198,11,FALSE)*性格一覧!$D10*Lv50時の伸び率!V10*0.01)*(VLOOKUP($C$3,ギルド一覧!$B$4:$R$29,8,FALSE)),(VLOOKUP($B$7,'モンスター　一覧'!$B$4:$O$198,11,FALSE)*性格一覧!$D10*Lv50時の伸び率!V10*0.01)*(VLOOKUP($C$3,ギルド一覧!$B$4:$R$29,14,FALSE)))</f>
        <v>267.44715447154471</v>
      </c>
      <c r="F19" s="193">
        <f>IF($C$4="通常",(VLOOKUP($B$7,'モンスター　一覧'!$B$4:$O$198,12,FALSE)*性格一覧!$E10*Lv50時の伸び率!W10*0.01)*(VLOOKUP($C$3,ギルド一覧!$B$4:$R$29,9,FALSE)),(VLOOKUP($B$7,'モンスター　一覧'!$B$4:$O$198,12,FALSE)*性格一覧!$E10*Lv50時の伸び率!W10*0.01)*(VLOOKUP($C$3,ギルド一覧!$B$4:$R$29,15,FALSE)))</f>
        <v>47.745454545454542</v>
      </c>
      <c r="G19" s="193">
        <f>IF($C$4="通常",(VLOOKUP($B$7,'モンスター　一覧'!$B$4:$O$198,13,FALSE)*性格一覧!$F10*Lv50時の伸び率!X10*0.01)*(VLOOKUP($C$3,ギルド一覧!$B$4:$R$29,10,FALSE)),(VLOOKUP($B$7,'モンスター　一覧'!$B$4:$O$198,13,FALSE)*性格一覧!$F10*Lv50時の伸び率!X10*0.01)*(VLOOKUP($C$3,ギルド一覧!$B$4:$R$29,16,FALSE)))</f>
        <v>65.571428571428584</v>
      </c>
      <c r="H19" s="201">
        <f>IF($C$4="通常",(VLOOKUP($B$7,'モンスター　一覧'!$B$4:$O$198,14,FALSE)*性格一覧!$G10*Lv50時の伸び率!Y10*0.01)*(VLOOKUP($C$3,ギルド一覧!$B$4:$R$29,11,FALSE)),(VLOOKUP($B$7,'モンスター　一覧'!$B$4:$O$198,14,FALSE)*性格一覧!$G10*Lv50時の伸び率!Y10*0.01)*VLOOKUP($C$3,ギルド一覧!$B$4:$R$29,17,FALSE))</f>
        <v>16.545454545454547</v>
      </c>
      <c r="I19" s="205">
        <f t="shared" si="0"/>
        <v>832.9023430493138</v>
      </c>
      <c r="J19" s="56"/>
      <c r="K19" s="198" t="s">
        <v>23</v>
      </c>
      <c r="L19" s="193">
        <f>IF($L$4="通常",(VLOOKUP($K$7,'モンスター　一覧'!$B$4:$O$198,9,FALSE)*性格一覧!$B10*Lv50時の伸び率!$T10*0.01)*(VLOOKUP($C$3,ギルド一覧!$B$4:$R$29,6,FALSE)),(VLOOKUP($K$7,'モンスター　一覧'!$B$4:$O$198,9,FALSE)*性格一覧!$B10*Lv50時の伸び率!$T10*0.01)*(VLOOKUP($C$3,ギルド一覧!$B$4:$R$29,12,FALSE)))</f>
        <v>253.51351351351352</v>
      </c>
      <c r="M19" s="193">
        <f>IF($L$4="通常",(VLOOKUP($K$7,'モンスター　一覧'!$B$4:$O$198,10,FALSE)*性格一覧!$C10*Lv50時の伸び率!$U10*0.01)*(VLOOKUP($L$3,ギルド一覧!$B$4:$R$29,7,FALSE)),(VLOOKUP($K$7,'モンスター　一覧'!$B$4:$O$198,10,FALSE)*性格一覧!$C10*Lv50時の伸び率!$U10*0.01)*(VLOOKUP($L$3,ギルド一覧!$B$4:$R$29,13,FALSE)))</f>
        <v>94.838709677419359</v>
      </c>
      <c r="N19" s="193">
        <f>IF($L$4="通常",(VLOOKUP($K$7,'モンスター　一覧'!$B$4:$O$198,11,FALSE)*性格一覧!$D10*Lv50時の伸び率!$V10*0.01)*(VLOOKUP($L$3,ギルド一覧!$B$4:$R$29,8,FALSE)),(VLOOKUP($K$7,'モンスター　一覧'!$B$4:$O$198,11,FALSE)*性格一覧!$D10*Lv50時の伸び率!$V10*0.01)*(VLOOKUP($C$3,ギルド一覧!$B$4:$R$29,14,FALSE)))</f>
        <v>200.58536585365854</v>
      </c>
      <c r="O19" s="193">
        <f>IF($L$4="通常",(VLOOKUP($K$7,'モンスター　一覧'!$B$4:$O$198,12,FALSE)*性格一覧!$E10*Lv50時の伸び率!$W10*0.01)*(VLOOKUP($L$3,ギルド一覧!$B$4:$R$29,9,FALSE)),(VLOOKUP($K$7,'モンスター　一覧'!$B$4:$O$198,12,FALSE)*性格一覧!$E10*Lv50時の伸び率!$W10*0.01)*(VLOOKUP($L$3,ギルド一覧!$B$4:$R$29,15,FALSE)))</f>
        <v>229.54545454545453</v>
      </c>
      <c r="P19" s="193">
        <f>IF($L$4="通常",(VLOOKUP($K$7,'モンスター　一覧'!$B$4:$O$198,13,FALSE)*性格一覧!$F10*Lv50時の伸び率!$X10*0.01)*(VLOOKUP($L$3,ギルド一覧!$B$4:$R$29,10,FALSE)),(VLOOKUP($K$7,'モンスター　一覧'!$B$4:$O$198,13,FALSE)*性格一覧!$F10*Lv50時の伸び率!$X10*0.01)*(VLOOKUP($L$3,ギルド一覧!$B$4:$R$29,16,FALSE)))</f>
        <v>146.05714285714288</v>
      </c>
      <c r="Q19" s="194">
        <f>IF($L$4="通常",(VLOOKUP($K$7,'モンスター　一覧'!$B$4:$O$198,14,FALSE)*性格一覧!$G10*Lv50時の伸び率!$Y10*0.01)*(VLOOKUP($L$3,ギルド一覧!$B$4:$R$29,11,FALSE)),(VLOOKUP($K$7,'モンスター　一覧'!$B$4:$O$198,14,FALSE)*性格一覧!$G10*Lv50時の伸び率!$Y10*0.01)*VLOOKUP($L$3,ギルド一覧!$B$4:$R$29,17,FALSE))</f>
        <v>94.545454545454547</v>
      </c>
      <c r="R19" s="205">
        <f t="shared" si="1"/>
        <v>1019.0856409926432</v>
      </c>
      <c r="T19" s="64" t="s">
        <v>23</v>
      </c>
      <c r="U19" s="193">
        <f>IF($U$4="通常",(VLOOKUP($T$7,'モンスター　一覧'!$B$4:$O$198,9,FALSE)*性格一覧!$B10*Lv50時の伸び率!$T10*0.01)*(VLOOKUP($U$3,ギルド一覧!$B$4:$R$29,6,FALSE)),(VLOOKUP($T$7,'モンスター　一覧'!$B$4:$O$198,9,FALSE)*性格一覧!$B10*Lv50時の伸び率!$T10*0.01)*(VLOOKUP($U$3,ギルド一覧!$B$4:$R$29,12,FALSE)))</f>
        <v>405.62162162162161</v>
      </c>
      <c r="V19" s="193">
        <f>IF($T$4="通常",(VLOOKUP($T$7,'モンスター　一覧'!$B$4:$O$198,10,FALSE)*性格一覧!$C10*Lv50時の伸び率!$U10*0.01)*(VLOOKUP($U$3,ギルド一覧!$B$4:$R$29,7,FALSE)),(VLOOKUP($T$7,'モンスター　一覧'!$B$4:$O$198,10,FALSE)*性格一覧!$C10*Lv50時の伸び率!$U10*0.01)*(VLOOKUP($U$3,ギルド一覧!$B$4:$R$29,13,FALSE)))</f>
        <v>120.12903225806451</v>
      </c>
      <c r="W19" s="193">
        <f>IF($U$4="通常",(VLOOKUP($T$7,'モンスター　一覧'!$B$4:$O$198,11,FALSE)*性格一覧!$D10*Lv50時の伸び率!$V10*0.01)*(VLOOKUP($U$3,ギルド一覧!$B$4:$R$29,8,FALSE)),(VLOOKUP($T$7,'モンスター　一覧'!$B$4:$O$198,11,FALSE)*性格一覧!$D10*Lv50時の伸び率!$V10*0.01)*(VLOOKUP($C$3,ギルド一覧!$B$4:$R$29,14,FALSE)))</f>
        <v>177.60162601626016</v>
      </c>
      <c r="X19" s="193">
        <f>IF($U$4="通常",(VLOOKUP($T$7,'モンスター　一覧'!$B$4:$O$198,12,FALSE)*性格一覧!$E10*Lv50時の伸び率!$W10*0.01)*(VLOOKUP($U$3,ギルド一覧!$B$4:$R$29,9,FALSE)),(VLOOKUP($T$7,'モンスター　一覧'!$B$4:$O$198,12,FALSE)*性格一覧!$E10*Lv50時の伸び率!$W10*0.01)*(VLOOKUP($U$3,ギルド一覧!$B$4:$R$29,15,FALSE)))</f>
        <v>163.43636363636364</v>
      </c>
      <c r="Y19" s="193">
        <f>IF($U$4="通常",(VLOOKUP($T$7,'モンスター　一覧'!$B$4:$O$198,13,FALSE)*性格一覧!$F10*Lv50時の伸び率!$X10*0.01)*(VLOOKUP($U$3,ギルド一覧!$B$4:$R$29,10,FALSE)),(VLOOKUP($T$7,'モンスター　一覧'!$B$4:$O$198,13,FALSE)*性格一覧!$F10*Lv50時の伸び率!$X10*0.01)*(VLOOKUP($U$3,ギルド一覧!$B$4:$R$29,16,FALSE)))</f>
        <v>105.42857142857143</v>
      </c>
      <c r="Z19" s="194">
        <f>IF($U$4="通常",(VLOOKUP($T$7,'モンスター　一覧'!$B$4:$O$198,14,FALSE)*性格一覧!$G10*Lv50時の伸び率!$Y10*0.01)*(VLOOKUP($U$3,ギルド一覧!$B$4:$R$29,11,FALSE)),(VLOOKUP($T$7,'モンスター　一覧'!$B$4:$O$198,14,FALSE)*性格一覧!$G10*Lv50時の伸び率!$Y10*0.01)*VLOOKUP($U$3,ギルド一覧!$B$4:$R$29,17,FALSE))</f>
        <v>150.09090909090909</v>
      </c>
      <c r="AA19" s="205">
        <f t="shared" si="2"/>
        <v>1122.3081240517904</v>
      </c>
      <c r="AC19" s="152" t="s">
        <v>204</v>
      </c>
      <c r="AD19" s="235" t="s">
        <v>845</v>
      </c>
    </row>
    <row r="20" spans="2:30" s="55" customFormat="1">
      <c r="B20" s="64" t="s">
        <v>24</v>
      </c>
      <c r="C20" s="193">
        <f>IF($C$4="通常",(VLOOKUP($B$7,'モンスター　一覧'!$B$4:$O$198,9,FALSE)*性格一覧!$B11*Lv50時の伸び率!T11*0.01)*(VLOOKUP($C$3,ギルド一覧!$B$4:$R$29,6,FALSE)),(VLOOKUP($B$7,'モンスター　一覧'!$B$4:$O$198,9,FALSE)*性格一覧!$B11*Lv50時の伸び率!T11*0.01)*(VLOOKUP($C$3,ギルド一覧!$B$4:$R$29,12,FALSE)))</f>
        <v>285.28301886792451</v>
      </c>
      <c r="D20" s="193">
        <f>IF($C$4="通常",(VLOOKUP($B$7,'モンスター　一覧'!$B$4:$O$198,10,FALSE)*性格一覧!$C11*Lv50時の伸び率!U11*0.01)*(VLOOKUP($C$3,ギルド一覧!$B$4:$R$29,7,FALSE)),(VLOOKUP($B$7,'モンスター　一覧'!$B$4:$O$198,10,FALSE)*性格一覧!$C11*Lv50時の伸び率!U11*0.01)*(VLOOKUP($C$3,ギルド一覧!$B$4:$R$29,13,FALSE)))</f>
        <v>84.21875</v>
      </c>
      <c r="E20" s="193">
        <f>IF($C$4="通常",(VLOOKUP($B$7,'モンスター　一覧'!$B$4:$O$198,11,FALSE)*性格一覧!$D11*Lv50時の伸び率!V11*0.01)*(VLOOKUP($C$3,ギルド一覧!$B$4:$R$29,8,FALSE)),(VLOOKUP($B$7,'モンスター　一覧'!$B$4:$O$198,11,FALSE)*性格一覧!$D11*Lv50時の伸び率!V11*0.01)*(VLOOKUP($C$3,ギルド一覧!$B$4:$R$29,14,FALSE)))</f>
        <v>219.28682170542635</v>
      </c>
      <c r="F20" s="193">
        <f>IF($C$4="通常",(VLOOKUP($B$7,'モンスター　一覧'!$B$4:$O$198,12,FALSE)*性格一覧!$E11*Lv50時の伸び率!W11*0.01)*(VLOOKUP($C$3,ギルド一覧!$B$4:$R$29,9,FALSE)),(VLOOKUP($B$7,'モンスター　一覧'!$B$4:$O$198,12,FALSE)*性格一覧!$E11*Lv50時の伸び率!W11*0.01)*(VLOOKUP($C$3,ギルド一覧!$B$4:$R$29,15,FALSE)))</f>
        <v>44.672727272727272</v>
      </c>
      <c r="G20" s="193">
        <f>IF($C$4="通常",(VLOOKUP($B$7,'モンスター　一覧'!$B$4:$O$198,13,FALSE)*性格一覧!$F11*Lv50時の伸び率!X11*0.01)*(VLOOKUP($C$3,ギルド一覧!$B$4:$R$29,10,FALSE)),(VLOOKUP($B$7,'モンスター　一覧'!$B$4:$O$198,13,FALSE)*性格一覧!$F11*Lv50時の伸び率!X11*0.01)*(VLOOKUP($C$3,ギルド一覧!$B$4:$R$29,16,FALSE)))</f>
        <v>73.557692307692307</v>
      </c>
      <c r="H20" s="201">
        <f>IF($C$4="通常",(VLOOKUP($B$7,'モンスター　一覧'!$B$4:$O$198,14,FALSE)*性格一覧!$G11*Lv50時の伸び率!Y11*0.01)*(VLOOKUP($C$3,ギルド一覧!$B$4:$R$29,11,FALSE)),(VLOOKUP($B$7,'モンスター　一覧'!$B$4:$O$198,14,FALSE)*性格一覧!$G11*Lv50時の伸び率!Y11*0.01)*VLOOKUP($C$3,ギルド一覧!$B$4:$R$29,17,FALSE))</f>
        <v>27.5625</v>
      </c>
      <c r="I20" s="205">
        <f t="shared" si="0"/>
        <v>734.5815101537703</v>
      </c>
      <c r="J20" s="56"/>
      <c r="K20" s="198" t="s">
        <v>24</v>
      </c>
      <c r="L20" s="193">
        <f>IF($L$4="通常",(VLOOKUP($K$7,'モンスター　一覧'!$B$4:$O$198,9,FALSE)*性格一覧!$B11*Lv50時の伸び率!$T11*0.01)*(VLOOKUP($C$3,ギルド一覧!$B$4:$R$29,6,FALSE)),(VLOOKUP($K$7,'モンスター　一覧'!$B$4:$O$198,9,FALSE)*性格一覧!$B11*Lv50時の伸び率!$T11*0.01)*(VLOOKUP($C$3,ギルド一覧!$B$4:$R$29,12,FALSE)))</f>
        <v>190.18867924528303</v>
      </c>
      <c r="M20" s="193">
        <f>IF($L$4="通常",(VLOOKUP($K$7,'モンスター　一覧'!$B$4:$O$198,10,FALSE)*性格一覧!$C11*Lv50時の伸び率!$U11*0.01)*(VLOOKUP($L$3,ギルド一覧!$B$4:$R$29,7,FALSE)),(VLOOKUP($K$7,'モンスター　一覧'!$B$4:$O$198,10,FALSE)*性格一覧!$C11*Lv50時の伸び率!$U11*0.01)*(VLOOKUP($L$3,ギルド一覧!$B$4:$R$29,13,FALSE)))</f>
        <v>144.37499999999997</v>
      </c>
      <c r="N20" s="193">
        <f>IF($L$4="通常",(VLOOKUP($K$7,'モンスター　一覧'!$B$4:$O$198,11,FALSE)*性格一覧!$D11*Lv50時の伸び率!$V11*0.01)*(VLOOKUP($L$3,ギルド一覧!$B$4:$R$29,8,FALSE)),(VLOOKUP($K$7,'モンスター　一覧'!$B$4:$O$198,11,FALSE)*性格一覧!$D11*Lv50時の伸び率!$V11*0.01)*(VLOOKUP($C$3,ギルド一覧!$B$4:$R$29,14,FALSE)))</f>
        <v>164.46511627906975</v>
      </c>
      <c r="O20" s="193">
        <f>IF($L$4="通常",(VLOOKUP($K$7,'モンスター　一覧'!$B$4:$O$198,12,FALSE)*性格一覧!$E11*Lv50時の伸び率!$W11*0.01)*(VLOOKUP($L$3,ギルド一覧!$B$4:$R$29,9,FALSE)),(VLOOKUP($K$7,'モンスター　一覧'!$B$4:$O$198,12,FALSE)*性格一覧!$E11*Lv50時の伸び率!$W11*0.01)*(VLOOKUP($L$3,ギルド一覧!$B$4:$R$29,15,FALSE)))</f>
        <v>214.77272727272725</v>
      </c>
      <c r="P20" s="193">
        <f>IF($L$4="通常",(VLOOKUP($K$7,'モンスター　一覧'!$B$4:$O$198,13,FALSE)*性格一覧!$F11*Lv50時の伸び率!$X11*0.01)*(VLOOKUP($L$3,ギルド一覧!$B$4:$R$29,10,FALSE)),(VLOOKUP($K$7,'モンスター　一覧'!$B$4:$O$198,13,FALSE)*性格一覧!$F11*Lv50時の伸び率!$X11*0.01)*(VLOOKUP($L$3,ギルド一覧!$B$4:$R$29,16,FALSE)))</f>
        <v>163.84615384615387</v>
      </c>
      <c r="Q20" s="194">
        <f>IF($L$4="通常",(VLOOKUP($K$7,'モンスター　一覧'!$B$4:$O$198,14,FALSE)*性格一覧!$G11*Lv50時の伸び率!$Y11*0.01)*(VLOOKUP($L$3,ギルド一覧!$B$4:$R$29,11,FALSE)),(VLOOKUP($K$7,'モンスター　一覧'!$B$4:$O$198,14,FALSE)*性格一覧!$G11*Lv50時の伸び率!$Y11*0.01)*VLOOKUP($L$3,ギルド一覧!$B$4:$R$29,17,FALSE))</f>
        <v>157.49999999999997</v>
      </c>
      <c r="R20" s="205">
        <f t="shared" si="1"/>
        <v>1035.1476766432338</v>
      </c>
      <c r="T20" s="64" t="s">
        <v>24</v>
      </c>
      <c r="U20" s="193">
        <f>IF($U$4="通常",(VLOOKUP($T$7,'モンスター　一覧'!$B$4:$O$198,9,FALSE)*性格一覧!$B11*Lv50時の伸び率!$T11*0.01)*(VLOOKUP($U$3,ギルド一覧!$B$4:$R$29,6,FALSE)),(VLOOKUP($T$7,'モンスター　一覧'!$B$4:$O$198,9,FALSE)*性格一覧!$B11*Lv50時の伸び率!$T11*0.01)*(VLOOKUP($U$3,ギルド一覧!$B$4:$R$29,12,FALSE)))</f>
        <v>304.30188679245282</v>
      </c>
      <c r="V20" s="193">
        <f>IF($T$4="通常",(VLOOKUP($T$7,'モンスター　一覧'!$B$4:$O$198,10,FALSE)*性格一覧!$C11*Lv50時の伸び率!$U11*0.01)*(VLOOKUP($U$3,ギルド一覧!$B$4:$R$29,7,FALSE)),(VLOOKUP($T$7,'モンスター　一覧'!$B$4:$O$198,10,FALSE)*性格一覧!$C11*Lv50時の伸び率!$U11*0.01)*(VLOOKUP($U$3,ギルド一覧!$B$4:$R$29,13,FALSE)))</f>
        <v>182.875</v>
      </c>
      <c r="W20" s="193">
        <f>IF($U$4="通常",(VLOOKUP($T$7,'モンスター　一覧'!$B$4:$O$198,11,FALSE)*性格一覧!$D11*Lv50時の伸び率!$V11*0.01)*(VLOOKUP($U$3,ギルド一覧!$B$4:$R$29,8,FALSE)),(VLOOKUP($T$7,'モンスター　一覧'!$B$4:$O$198,11,FALSE)*性格一覧!$D11*Lv50時の伸び率!$V11*0.01)*(VLOOKUP($C$3,ギルド一覧!$B$4:$R$29,14,FALSE)))</f>
        <v>145.62015503875969</v>
      </c>
      <c r="X20" s="193">
        <f>IF($U$4="通常",(VLOOKUP($T$7,'モンスター　一覧'!$B$4:$O$198,12,FALSE)*性格一覧!$E11*Lv50時の伸び率!$W11*0.01)*(VLOOKUP($U$3,ギルド一覧!$B$4:$R$29,9,FALSE)),(VLOOKUP($T$7,'モンスター　一覧'!$B$4:$O$198,12,FALSE)*性格一覧!$E11*Lv50時の伸び率!$W11*0.01)*(VLOOKUP($U$3,ギルド一覧!$B$4:$R$29,15,FALSE)))</f>
        <v>152.91818181818181</v>
      </c>
      <c r="Y20" s="193">
        <f>IF($U$4="通常",(VLOOKUP($T$7,'モンスター　一覧'!$B$4:$O$198,13,FALSE)*性格一覧!$F11*Lv50時の伸び率!$X11*0.01)*(VLOOKUP($U$3,ギルド一覧!$B$4:$R$29,10,FALSE)),(VLOOKUP($T$7,'モンスター　一覧'!$B$4:$O$198,13,FALSE)*性格一覧!$F11*Lv50時の伸び率!$X11*0.01)*(VLOOKUP($U$3,ギルド一覧!$B$4:$R$29,16,FALSE)))</f>
        <v>118.26923076923076</v>
      </c>
      <c r="Z20" s="194">
        <f>IF($U$4="通常",(VLOOKUP($T$7,'モンスター　一覧'!$B$4:$O$198,14,FALSE)*性格一覧!$G11*Lv50時の伸び率!$Y11*0.01)*(VLOOKUP($U$3,ギルド一覧!$B$4:$R$29,11,FALSE)),(VLOOKUP($T$7,'モンスター　一覧'!$B$4:$O$198,14,FALSE)*性格一覧!$G11*Lv50時の伸び率!$Y11*0.01)*VLOOKUP($U$3,ギルド一覧!$B$4:$R$29,17,FALSE))</f>
        <v>250.03124999999997</v>
      </c>
      <c r="AA20" s="205">
        <f t="shared" si="2"/>
        <v>1154.0157044186249</v>
      </c>
      <c r="AC20" s="152" t="s">
        <v>89</v>
      </c>
      <c r="AD20" s="235" t="s">
        <v>859</v>
      </c>
    </row>
    <row r="21" spans="2:30" s="55" customFormat="1">
      <c r="B21" s="64" t="s">
        <v>25</v>
      </c>
      <c r="C21" s="193">
        <f>IF($C$4="通常",(VLOOKUP($B$7,'モンスター　一覧'!$B$4:$O$198,9,FALSE)*性格一覧!$B12*Lv50時の伸び率!T12*0.01)*(VLOOKUP($C$3,ギルド一覧!$B$4:$R$29,6,FALSE)),(VLOOKUP($B$7,'モンスター　一覧'!$B$4:$O$198,9,FALSE)*性格一覧!$B12*Lv50時の伸び率!T12*0.01)*(VLOOKUP($C$3,ギルド一覧!$B$4:$R$29,12,FALSE)))</f>
        <v>399.67741935483872</v>
      </c>
      <c r="D21" s="193">
        <f>IF($C$4="通常",(VLOOKUP($B$7,'モンスター　一覧'!$B$4:$O$198,10,FALSE)*性格一覧!$C12*Lv50時の伸び率!U12*0.01)*(VLOOKUP($C$3,ギルド一覧!$B$4:$R$29,7,FALSE)),(VLOOKUP($B$7,'モンスター　一覧'!$B$4:$O$198,10,FALSE)*性格一覧!$C12*Lv50時の伸び率!U12*0.01)*(VLOOKUP($C$3,ギルド一覧!$B$4:$R$29,13,FALSE)))</f>
        <v>57.421875</v>
      </c>
      <c r="E21" s="193">
        <f>IF($C$4="通常",(VLOOKUP($B$7,'モンスター　一覧'!$B$4:$O$198,11,FALSE)*性格一覧!$D12*Lv50時の伸び率!V12*0.01)*(VLOOKUP($C$3,ギルド一覧!$B$4:$R$29,8,FALSE)),(VLOOKUP($B$7,'モンスター　一覧'!$B$4:$O$198,11,FALSE)*性格一覧!$D12*Lv50時の伸び率!V12*0.01)*(VLOOKUP($C$3,ギルド一覧!$B$4:$R$29,14,FALSE)))</f>
        <v>271.36</v>
      </c>
      <c r="F21" s="193">
        <f>IF($C$4="通常",(VLOOKUP($B$7,'モンスター　一覧'!$B$4:$O$198,12,FALSE)*性格一覧!$E12*Lv50時の伸び率!W12*0.01)*(VLOOKUP($C$3,ギルド一覧!$B$4:$R$29,9,FALSE)),(VLOOKUP($B$7,'モンスター　一覧'!$B$4:$O$198,12,FALSE)*性格一覧!$E12*Lv50時の伸び率!W12*0.01)*(VLOOKUP($C$3,ギルド一覧!$B$4:$R$29,15,FALSE)))</f>
        <v>47.745454545454542</v>
      </c>
      <c r="G21" s="193">
        <f>IF($C$4="通常",(VLOOKUP($B$7,'モンスター　一覧'!$B$4:$O$198,13,FALSE)*性格一覧!$F12*Lv50時の伸び率!X12*0.01)*(VLOOKUP($C$3,ギルド一覧!$B$4:$R$29,10,FALSE)),(VLOOKUP($B$7,'モンスター　一覧'!$B$4:$O$198,13,FALSE)*性格一覧!$F12*Lv50時の伸び率!X12*0.01)*(VLOOKUP($C$3,ギルド一覧!$B$4:$R$29,16,FALSE)))</f>
        <v>83.072164948453619</v>
      </c>
      <c r="H21" s="201">
        <f>IF($C$4="通常",(VLOOKUP($B$7,'モンスター　一覧'!$B$4:$O$198,14,FALSE)*性格一覧!$G12*Lv50時の伸び率!Y12*0.01)*(VLOOKUP($C$3,ギルド一覧!$B$4:$R$29,11,FALSE)),(VLOOKUP($B$7,'モンスター　一覧'!$B$4:$O$198,14,FALSE)*性格一覧!$G12*Lv50時の伸び率!Y12*0.01)*VLOOKUP($C$3,ギルド一覧!$B$4:$R$29,17,FALSE))</f>
        <v>21.764705882352942</v>
      </c>
      <c r="I21" s="205">
        <f t="shared" si="0"/>
        <v>881.04161973109979</v>
      </c>
      <c r="J21" s="56"/>
      <c r="K21" s="198" t="s">
        <v>25</v>
      </c>
      <c r="L21" s="193">
        <f>IF($L$4="通常",(VLOOKUP($K$7,'モンスター　一覧'!$B$4:$O$198,9,FALSE)*性格一覧!$B12*Lv50時の伸び率!$T12*0.01)*(VLOOKUP($C$3,ギルド一覧!$B$4:$R$29,6,FALSE)),(VLOOKUP($K$7,'モンスター　一覧'!$B$4:$O$198,9,FALSE)*性格一覧!$B12*Lv50時の伸び率!$T12*0.01)*(VLOOKUP($C$3,ギルド一覧!$B$4:$R$29,12,FALSE)))</f>
        <v>266.45161290322579</v>
      </c>
      <c r="M21" s="193">
        <f>IF($L$4="通常",(VLOOKUP($K$7,'モンスター　一覧'!$B$4:$O$198,10,FALSE)*性格一覧!$C12*Lv50時の伸び率!$U12*0.01)*(VLOOKUP($L$3,ギルド一覧!$B$4:$R$29,7,FALSE)),(VLOOKUP($K$7,'モンスター　一覧'!$B$4:$O$198,10,FALSE)*性格一覧!$C12*Lv50時の伸び率!$U12*0.01)*(VLOOKUP($L$3,ギルド一覧!$B$4:$R$29,13,FALSE)))</f>
        <v>98.4375</v>
      </c>
      <c r="N21" s="193">
        <f>IF($L$4="通常",(VLOOKUP($K$7,'モンスター　一覧'!$B$4:$O$198,11,FALSE)*性格一覧!$D12*Lv50時の伸び率!$V12*0.01)*(VLOOKUP($L$3,ギルド一覧!$B$4:$R$29,8,FALSE)),(VLOOKUP($K$7,'モンスター　一覧'!$B$4:$O$198,11,FALSE)*性格一覧!$D12*Lv50時の伸び率!$V12*0.01)*(VLOOKUP($C$3,ギルド一覧!$B$4:$R$29,14,FALSE)))</f>
        <v>203.52</v>
      </c>
      <c r="O21" s="193">
        <f>IF($L$4="通常",(VLOOKUP($K$7,'モンスター　一覧'!$B$4:$O$198,12,FALSE)*性格一覧!$E12*Lv50時の伸び率!$W12*0.01)*(VLOOKUP($L$3,ギルド一覧!$B$4:$R$29,9,FALSE)),(VLOOKUP($K$7,'モンスター　一覧'!$B$4:$O$198,12,FALSE)*性格一覧!$E12*Lv50時の伸び率!$W12*0.01)*(VLOOKUP($L$3,ギルド一覧!$B$4:$R$29,15,FALSE)))</f>
        <v>229.54545454545453</v>
      </c>
      <c r="P21" s="193">
        <f>IF($L$4="通常",(VLOOKUP($K$7,'モンスター　一覧'!$B$4:$O$198,13,FALSE)*性格一覧!$F12*Lv50時の伸び率!$X12*0.01)*(VLOOKUP($L$3,ギルド一覧!$B$4:$R$29,10,FALSE)),(VLOOKUP($K$7,'モンスター　一覧'!$B$4:$O$198,13,FALSE)*性格一覧!$F12*Lv50時の伸び率!$X12*0.01)*(VLOOKUP($L$3,ギルド一覧!$B$4:$R$29,16,FALSE)))</f>
        <v>185.03917525773196</v>
      </c>
      <c r="Q21" s="194">
        <f>IF($L$4="通常",(VLOOKUP($K$7,'モンスター　一覧'!$B$4:$O$198,14,FALSE)*性格一覧!$G12*Lv50時の伸び率!$Y12*0.01)*(VLOOKUP($L$3,ギルド一覧!$B$4:$R$29,11,FALSE)),(VLOOKUP($K$7,'モンスター　一覧'!$B$4:$O$198,14,FALSE)*性格一覧!$G12*Lv50時の伸び率!$Y12*0.01)*VLOOKUP($L$3,ギルド一覧!$B$4:$R$29,17,FALSE))</f>
        <v>124.36974789915966</v>
      </c>
      <c r="R21" s="205">
        <f t="shared" si="1"/>
        <v>1107.363490605572</v>
      </c>
      <c r="T21" s="64" t="s">
        <v>25</v>
      </c>
      <c r="U21" s="193">
        <f>IF($U$4="通常",(VLOOKUP($T$7,'モンスター　一覧'!$B$4:$O$198,9,FALSE)*性格一覧!$B12*Lv50時の伸び率!$T12*0.01)*(VLOOKUP($U$3,ギルド一覧!$B$4:$R$29,6,FALSE)),(VLOOKUP($T$7,'モンスター　一覧'!$B$4:$O$198,9,FALSE)*性格一覧!$B12*Lv50時の伸び率!$T12*0.01)*(VLOOKUP($U$3,ギルド一覧!$B$4:$R$29,12,FALSE)))</f>
        <v>426.32258064516128</v>
      </c>
      <c r="V21" s="193">
        <f>IF($T$4="通常",(VLOOKUP($T$7,'モンスター　一覧'!$B$4:$O$198,10,FALSE)*性格一覧!$C12*Lv50時の伸び率!$U12*0.01)*(VLOOKUP($U$3,ギルド一覧!$B$4:$R$29,7,FALSE)),(VLOOKUP($T$7,'モンスター　一覧'!$B$4:$O$198,10,FALSE)*性格一覧!$C12*Lv50時の伸び率!$U12*0.01)*(VLOOKUP($U$3,ギルド一覧!$B$4:$R$29,13,FALSE)))</f>
        <v>124.6875</v>
      </c>
      <c r="W21" s="193">
        <f>IF($U$4="通常",(VLOOKUP($T$7,'モンスター　一覧'!$B$4:$O$198,11,FALSE)*性格一覧!$D12*Lv50時の伸び率!$V12*0.01)*(VLOOKUP($U$3,ギルド一覧!$B$4:$R$29,8,FALSE)),(VLOOKUP($T$7,'モンスター　一覧'!$B$4:$O$198,11,FALSE)*性格一覧!$D12*Lv50時の伸び率!$V12*0.01)*(VLOOKUP($C$3,ギルド一覧!$B$4:$R$29,14,FALSE)))</f>
        <v>180.20000000000002</v>
      </c>
      <c r="X21" s="193">
        <f>IF($U$4="通常",(VLOOKUP($T$7,'モンスター　一覧'!$B$4:$O$198,12,FALSE)*性格一覧!$E12*Lv50時の伸び率!$W12*0.01)*(VLOOKUP($U$3,ギルド一覧!$B$4:$R$29,9,FALSE)),(VLOOKUP($T$7,'モンスター　一覧'!$B$4:$O$198,12,FALSE)*性格一覧!$E12*Lv50時の伸び率!$W12*0.01)*(VLOOKUP($U$3,ギルド一覧!$B$4:$R$29,15,FALSE)))</f>
        <v>163.43636363636364</v>
      </c>
      <c r="Y21" s="193">
        <f>IF($U$4="通常",(VLOOKUP($T$7,'モンスター　一覧'!$B$4:$O$198,13,FALSE)*性格一覧!$F12*Lv50時の伸び率!$X12*0.01)*(VLOOKUP($U$3,ギルド一覧!$B$4:$R$29,10,FALSE)),(VLOOKUP($T$7,'モンスター　一覧'!$B$4:$O$198,13,FALSE)*性格一覧!$F12*Lv50時の伸び率!$X12*0.01)*(VLOOKUP($U$3,ギルド一覧!$B$4:$R$29,16,FALSE)))</f>
        <v>133.56701030927834</v>
      </c>
      <c r="Z21" s="194">
        <f>IF($U$4="通常",(VLOOKUP($T$7,'モンスター　一覧'!$B$4:$O$198,14,FALSE)*性格一覧!$G12*Lv50時の伸び率!$Y12*0.01)*(VLOOKUP($U$3,ギルド一覧!$B$4:$R$29,11,FALSE)),(VLOOKUP($T$7,'モンスター　一覧'!$B$4:$O$198,14,FALSE)*性格一覧!$G12*Lv50時の伸び率!$Y12*0.01)*VLOOKUP($U$3,ギルド一覧!$B$4:$R$29,17,FALSE))</f>
        <v>197.43697478991595</v>
      </c>
      <c r="AA21" s="205">
        <f t="shared" si="2"/>
        <v>1225.6504293807193</v>
      </c>
      <c r="AC21" s="152" t="s">
        <v>158</v>
      </c>
      <c r="AD21" s="235" t="s">
        <v>860</v>
      </c>
    </row>
    <row r="22" spans="2:30" s="55" customFormat="1">
      <c r="B22" s="64" t="s">
        <v>26</v>
      </c>
      <c r="C22" s="193">
        <f>IF($C$4="通常",(VLOOKUP($B$7,'モンスター　一覧'!$B$4:$O$198,9,FALSE)*性格一覧!$B13*Lv50時の伸び率!T13*0.01)*(VLOOKUP($C$3,ギルド一覧!$B$4:$R$29,6,FALSE)),(VLOOKUP($B$7,'モンスター　一覧'!$B$4:$O$198,9,FALSE)*性格一覧!$B13*Lv50時の伸び率!T13*0.01)*(VLOOKUP($C$3,ギルド一覧!$B$4:$R$29,12,FALSE)))</f>
        <v>308.70967741935482</v>
      </c>
      <c r="D22" s="193">
        <f>IF($C$4="通常",(VLOOKUP($B$7,'モンスター　一覧'!$B$4:$O$198,10,FALSE)*性格一覧!$C13*Lv50時の伸び率!U13*0.01)*(VLOOKUP($C$3,ギルド一覧!$B$4:$R$29,7,FALSE)),(VLOOKUP($B$7,'モンスター　一覧'!$B$4:$O$198,10,FALSE)*性格一覧!$C13*Lv50時の伸び率!U13*0.01)*(VLOOKUP($C$3,ギルド一覧!$B$4:$R$29,13,FALSE)))</f>
        <v>72.1875</v>
      </c>
      <c r="E22" s="193">
        <f>IF($C$4="通常",(VLOOKUP($B$7,'モンスター　一覧'!$B$4:$O$198,11,FALSE)*性格一覧!$D13*Lv50時の伸び率!V13*0.01)*(VLOOKUP($C$3,ギルド一覧!$B$4:$R$29,8,FALSE)),(VLOOKUP($B$7,'モンスター　一覧'!$B$4:$O$198,11,FALSE)*性格一覧!$D13*Lv50時の伸び率!V13*0.01)*(VLOOKUP($C$3,ギルド一覧!$B$4:$R$29,14,FALSE)))</f>
        <v>259.41333333333336</v>
      </c>
      <c r="F22" s="193">
        <f>IF($C$4="通常",(VLOOKUP($B$7,'モンスター　一覧'!$B$4:$O$198,12,FALSE)*性格一覧!$E13*Lv50時の伸び率!W13*0.01)*(VLOOKUP($C$3,ギルド一覧!$B$4:$R$29,9,FALSE)),(VLOOKUP($B$7,'モンスター　一覧'!$B$4:$O$198,12,FALSE)*性格一覧!$E13*Lv50時の伸び率!W13*0.01)*(VLOOKUP($C$3,ギルド一覧!$B$4:$R$29,15,FALSE)))</f>
        <v>41.127272727272718</v>
      </c>
      <c r="G22" s="193">
        <f>IF($C$4="通常",(VLOOKUP($B$7,'モンスター　一覧'!$B$4:$O$198,13,FALSE)*性格一覧!$F13*Lv50時の伸び率!X13*0.01)*(VLOOKUP($C$3,ギルド一覧!$B$4:$R$29,10,FALSE)),(VLOOKUP($B$7,'モンスター　一覧'!$B$4:$O$198,13,FALSE)*性格一覧!$F13*Lv50時の伸び率!X13*0.01)*(VLOOKUP($C$3,ギルド一覧!$B$4:$R$29,16,FALSE)))</f>
        <v>108.30927835051546</v>
      </c>
      <c r="H22" s="201">
        <f>IF($C$4="通常",(VLOOKUP($B$7,'モンスター　一覧'!$B$4:$O$198,14,FALSE)*性格一覧!$G13*Lv50時の伸び率!Y13*0.01)*(VLOOKUP($C$3,ギルド一覧!$B$4:$R$29,11,FALSE)),(VLOOKUP($B$7,'モンスター　一覧'!$B$4:$O$198,14,FALSE)*性格一覧!$G13*Lv50時の伸び率!Y13*0.01)*VLOOKUP($C$3,ギルド一覧!$B$4:$R$29,17,FALSE))</f>
        <v>27.058823529411768</v>
      </c>
      <c r="I22" s="205">
        <f t="shared" si="0"/>
        <v>816.80588535988818</v>
      </c>
      <c r="J22" s="56"/>
      <c r="K22" s="198" t="s">
        <v>26</v>
      </c>
      <c r="L22" s="193">
        <f>IF($L$4="通常",(VLOOKUP($K$7,'モンスター　一覧'!$B$4:$O$198,9,FALSE)*性格一覧!$B13*Lv50時の伸び率!$T13*0.01)*(VLOOKUP($C$3,ギルド一覧!$B$4:$R$29,6,FALSE)),(VLOOKUP($K$7,'モンスター　一覧'!$B$4:$O$198,9,FALSE)*性格一覧!$B13*Lv50時の伸び率!$T13*0.01)*(VLOOKUP($C$3,ギルド一覧!$B$4:$R$29,12,FALSE)))</f>
        <v>205.80645161290323</v>
      </c>
      <c r="M22" s="193">
        <f>IF($L$4="通常",(VLOOKUP($K$7,'モンスター　一覧'!$B$4:$O$198,10,FALSE)*性格一覧!$C13*Lv50時の伸び率!$U13*0.01)*(VLOOKUP($L$3,ギルド一覧!$B$4:$R$29,7,FALSE)),(VLOOKUP($K$7,'モンスター　一覧'!$B$4:$O$198,10,FALSE)*性格一覧!$C13*Lv50時の伸び率!$U13*0.01)*(VLOOKUP($L$3,ギルド一覧!$B$4:$R$29,13,FALSE)))</f>
        <v>123.75</v>
      </c>
      <c r="N22" s="193">
        <f>IF($L$4="通常",(VLOOKUP($K$7,'モンスター　一覧'!$B$4:$O$198,11,FALSE)*性格一覧!$D13*Lv50時の伸び率!$V13*0.01)*(VLOOKUP($L$3,ギルド一覧!$B$4:$R$29,8,FALSE)),(VLOOKUP($K$7,'モンスター　一覧'!$B$4:$O$198,11,FALSE)*性格一覧!$D13*Lv50時の伸び率!$V13*0.01)*(VLOOKUP($C$3,ギルド一覧!$B$4:$R$29,14,FALSE)))</f>
        <v>194.56</v>
      </c>
      <c r="O22" s="193">
        <f>IF($L$4="通常",(VLOOKUP($K$7,'モンスター　一覧'!$B$4:$O$198,12,FALSE)*性格一覧!$E13*Lv50時の伸び率!$W13*0.01)*(VLOOKUP($L$3,ギルド一覧!$B$4:$R$29,9,FALSE)),(VLOOKUP($K$7,'モンスター　一覧'!$B$4:$O$198,12,FALSE)*性格一覧!$E13*Lv50時の伸び率!$W13*0.01)*(VLOOKUP($L$3,ギルド一覧!$B$4:$R$29,15,FALSE)))</f>
        <v>197.72727272727272</v>
      </c>
      <c r="P22" s="193">
        <f>IF($L$4="通常",(VLOOKUP($K$7,'モンスター　一覧'!$B$4:$O$198,13,FALSE)*性格一覧!$F13*Lv50時の伸び率!$X13*0.01)*(VLOOKUP($L$3,ギルド一覧!$B$4:$R$29,10,FALSE)),(VLOOKUP($K$7,'モンスター　一覧'!$B$4:$O$198,13,FALSE)*性格一覧!$F13*Lv50時の伸び率!$X13*0.01)*(VLOOKUP($L$3,ギルド一覧!$B$4:$R$29,16,FALSE)))</f>
        <v>241.2536082474227</v>
      </c>
      <c r="Q22" s="194">
        <f>IF($L$4="通常",(VLOOKUP($K$7,'モンスター　一覧'!$B$4:$O$198,14,FALSE)*性格一覧!$G13*Lv50時の伸び率!$Y13*0.01)*(VLOOKUP($L$3,ギルド一覧!$B$4:$R$29,11,FALSE)),(VLOOKUP($K$7,'モンスター　一覧'!$B$4:$O$198,14,FALSE)*性格一覧!$G13*Lv50時の伸び率!$Y13*0.01)*VLOOKUP($L$3,ギルド一覧!$B$4:$R$29,17,FALSE))</f>
        <v>154.62184873949579</v>
      </c>
      <c r="R22" s="205">
        <f t="shared" si="1"/>
        <v>1117.7191813270945</v>
      </c>
      <c r="T22" s="64" t="s">
        <v>26</v>
      </c>
      <c r="U22" s="193">
        <f>IF($U$4="通常",(VLOOKUP($T$7,'モンスター　一覧'!$B$4:$O$198,9,FALSE)*性格一覧!$B13*Lv50時の伸び率!$T13*0.01)*(VLOOKUP($U$3,ギルド一覧!$B$4:$R$29,6,FALSE)),(VLOOKUP($T$7,'モンスター　一覧'!$B$4:$O$198,9,FALSE)*性格一覧!$B13*Lv50時の伸び率!$T13*0.01)*(VLOOKUP($U$3,ギルド一覧!$B$4:$R$29,12,FALSE)))</f>
        <v>329.29032258064518</v>
      </c>
      <c r="V22" s="193">
        <f>IF($T$4="通常",(VLOOKUP($T$7,'モンスター　一覧'!$B$4:$O$198,10,FALSE)*性格一覧!$C13*Lv50時の伸び率!$U13*0.01)*(VLOOKUP($U$3,ギルド一覧!$B$4:$R$29,7,FALSE)),(VLOOKUP($T$7,'モンスター　一覧'!$B$4:$O$198,10,FALSE)*性格一覧!$C13*Lv50時の伸び率!$U13*0.01)*(VLOOKUP($U$3,ギルド一覧!$B$4:$R$29,13,FALSE)))</f>
        <v>156.75</v>
      </c>
      <c r="W22" s="193">
        <f>IF($U$4="通常",(VLOOKUP($T$7,'モンスター　一覧'!$B$4:$O$198,11,FALSE)*性格一覧!$D13*Lv50時の伸び率!$V13*0.01)*(VLOOKUP($U$3,ギルド一覧!$B$4:$R$29,8,FALSE)),(VLOOKUP($T$7,'モンスター　一覧'!$B$4:$O$198,11,FALSE)*性格一覧!$D13*Lv50時の伸び率!$V13*0.01)*(VLOOKUP($C$3,ギルド一覧!$B$4:$R$29,14,FALSE)))</f>
        <v>172.26666666666668</v>
      </c>
      <c r="X22" s="193">
        <f>IF($U$4="通常",(VLOOKUP($T$7,'モンスター　一覧'!$B$4:$O$198,12,FALSE)*性格一覧!$E13*Lv50時の伸び率!$W13*0.01)*(VLOOKUP($U$3,ギルド一覧!$B$4:$R$29,9,FALSE)),(VLOOKUP($T$7,'モンスター　一覧'!$B$4:$O$198,12,FALSE)*性格一覧!$E13*Lv50時の伸び率!$W13*0.01)*(VLOOKUP($U$3,ギルド一覧!$B$4:$R$29,15,FALSE)))</f>
        <v>140.78181818181815</v>
      </c>
      <c r="Y22" s="193">
        <f>IF($U$4="通常",(VLOOKUP($T$7,'モンスター　一覧'!$B$4:$O$198,13,FALSE)*性格一覧!$F13*Lv50時の伸び率!$X13*0.01)*(VLOOKUP($U$3,ギルド一覧!$B$4:$R$29,10,FALSE)),(VLOOKUP($T$7,'モンスター　一覧'!$B$4:$O$198,13,FALSE)*性格一覧!$F13*Lv50時の伸び率!$X13*0.01)*(VLOOKUP($U$3,ギルド一覧!$B$4:$R$29,16,FALSE)))</f>
        <v>174.14432989690724</v>
      </c>
      <c r="Z22" s="194">
        <f>IF($U$4="通常",(VLOOKUP($T$7,'モンスター　一覧'!$B$4:$O$198,14,FALSE)*性格一覧!$G13*Lv50時の伸び率!$Y13*0.01)*(VLOOKUP($U$3,ギルド一覧!$B$4:$R$29,11,FALSE)),(VLOOKUP($T$7,'モンスター　一覧'!$B$4:$O$198,14,FALSE)*性格一覧!$G13*Lv50時の伸び率!$Y13*0.01)*VLOOKUP($U$3,ギルド一覧!$B$4:$R$29,17,FALSE))</f>
        <v>245.46218487394958</v>
      </c>
      <c r="AA22" s="205">
        <f t="shared" si="2"/>
        <v>1218.695322199987</v>
      </c>
      <c r="AC22" s="152" t="s">
        <v>212</v>
      </c>
      <c r="AD22" s="235" t="s">
        <v>861</v>
      </c>
    </row>
    <row r="23" spans="2:30" s="55" customFormat="1" ht="12">
      <c r="B23" s="64" t="s">
        <v>326</v>
      </c>
      <c r="C23" s="193">
        <f>IF($C$4="通常",(VLOOKUP($B$7,'モンスター　一覧'!$B$4:$O$198,9,FALSE)*性格一覧!$B14*Lv50時の伸び率!T14*0.01)*(VLOOKUP($C$3,ギルド一覧!$B$4:$R$29,6,FALSE)),(VLOOKUP($B$7,'モンスター　一覧'!$B$4:$O$198,9,FALSE)*性格一覧!$B14*Lv50時の伸び率!T14*0.01)*(VLOOKUP($C$3,ギルド一覧!$B$4:$R$29,12,FALSE)))</f>
        <v>319.35483870967744</v>
      </c>
      <c r="D23" s="193">
        <f>IF($C$4="通常",(VLOOKUP($B$7,'モンスター　一覧'!$B$4:$O$198,10,FALSE)*性格一覧!$C14*Lv50時の伸び率!U14*0.01)*(VLOOKUP($C$3,ギルド一覧!$B$4:$R$29,7,FALSE)),(VLOOKUP($B$7,'モンスター　一覧'!$B$4:$O$198,10,FALSE)*性格一覧!$C14*Lv50時の伸び率!U14*0.01)*(VLOOKUP($C$3,ギルド一覧!$B$4:$R$29,13,FALSE)))</f>
        <v>65.625000000000014</v>
      </c>
      <c r="E23" s="193">
        <f>IF($C$4="通常",(VLOOKUP($B$7,'モンスター　一覧'!$B$4:$O$198,11,FALSE)*性格一覧!$D14*Lv50時の伸び率!V14*0.01)*(VLOOKUP($C$3,ギルド一覧!$B$4:$R$29,8,FALSE)),(VLOOKUP($B$7,'モンスター　一覧'!$B$4:$O$198,11,FALSE)*性格一覧!$D14*Lv50時の伸び率!V14*0.01)*(VLOOKUP($C$3,ギルド一覧!$B$4:$R$29,14,FALSE)))</f>
        <v>242.34666666666664</v>
      </c>
      <c r="F23" s="193">
        <f>IF($C$4="通常",(VLOOKUP($B$7,'モンスター　一覧'!$B$4:$O$198,12,FALSE)*性格一覧!$E14*Lv50時の伸び率!W14*0.01)*(VLOOKUP($C$3,ギルド一覧!$B$4:$R$29,9,FALSE)),(VLOOKUP($B$7,'モンスター　一覧'!$B$4:$O$198,12,FALSE)*性格一覧!$E14*Lv50時の伸び率!W14*0.01)*(VLOOKUP($C$3,ギルド一覧!$B$4:$R$29,15,FALSE)))</f>
        <v>36.872727272727268</v>
      </c>
      <c r="G23" s="193">
        <f>IF($C$4="通常",(VLOOKUP($B$7,'モンスター　一覧'!$B$4:$O$198,13,FALSE)*性格一覧!$F14*Lv50時の伸び率!X14*0.01)*(VLOOKUP($C$3,ギルド一覧!$B$4:$R$29,10,FALSE)),(VLOOKUP($B$7,'モンスター　一覧'!$B$4:$O$198,13,FALSE)*性格一覧!$F14*Lv50時の伸び率!X14*0.01)*(VLOOKUP($C$3,ギルド一覧!$B$4:$R$29,16,FALSE)))</f>
        <v>105.15463917525774</v>
      </c>
      <c r="H23" s="201">
        <f>IF($C$4="通常",(VLOOKUP($B$7,'モンスター　一覧'!$B$4:$O$198,14,FALSE)*性格一覧!$G14*Lv50時の伸び率!Y14*0.01)*(VLOOKUP($C$3,ギルド一覧!$B$4:$R$29,11,FALSE)),(VLOOKUP($B$7,'モンスター　一覧'!$B$4:$O$198,14,FALSE)*性格一覧!$G14*Lv50時の伸び率!Y14*0.01)*VLOOKUP($C$3,ギルド一覧!$B$4:$R$29,17,FALSE))</f>
        <v>22.823529411764703</v>
      </c>
      <c r="I23" s="205">
        <f t="shared" si="0"/>
        <v>792.17740123609394</v>
      </c>
      <c r="J23" s="56"/>
      <c r="K23" s="198" t="s">
        <v>326</v>
      </c>
      <c r="L23" s="193">
        <f>IF($L$4="通常",(VLOOKUP($K$7,'モンスター　一覧'!$B$4:$O$198,9,FALSE)*性格一覧!$B14*Lv50時の伸び率!$T14*0.01)*(VLOOKUP($C$3,ギルド一覧!$B$4:$R$29,6,FALSE)),(VLOOKUP($K$7,'モンスター　一覧'!$B$4:$O$198,9,FALSE)*性格一覧!$B14*Lv50時の伸び率!$T14*0.01)*(VLOOKUP($C$3,ギルド一覧!$B$4:$R$29,12,FALSE)))</f>
        <v>212.90322580645159</v>
      </c>
      <c r="M23" s="193">
        <f>IF($L$4="通常",(VLOOKUP($K$7,'モンスター　一覧'!$B$4:$O$198,10,FALSE)*性格一覧!$C14*Lv50時の伸び率!$U14*0.01)*(VLOOKUP($L$3,ギルド一覧!$B$4:$R$29,7,FALSE)),(VLOOKUP($K$7,'モンスター　一覧'!$B$4:$O$198,10,FALSE)*性格一覧!$C14*Lv50時の伸び率!$U14*0.01)*(VLOOKUP($L$3,ギルド一覧!$B$4:$R$29,13,FALSE)))</f>
        <v>112.50000000000001</v>
      </c>
      <c r="N23" s="193">
        <f>IF($L$4="通常",(VLOOKUP($K$7,'モンスター　一覧'!$B$4:$O$198,11,FALSE)*性格一覧!$D14*Lv50時の伸び率!$V14*0.01)*(VLOOKUP($L$3,ギルド一覧!$B$4:$R$29,8,FALSE)),(VLOOKUP($K$7,'モンスター　一覧'!$B$4:$O$198,11,FALSE)*性格一覧!$D14*Lv50時の伸び率!$V14*0.01)*(VLOOKUP($C$3,ギルド一覧!$B$4:$R$29,14,FALSE)))</f>
        <v>181.76</v>
      </c>
      <c r="O23" s="193">
        <f>IF($L$4="通常",(VLOOKUP($K$7,'モンスター　一覧'!$B$4:$O$198,12,FALSE)*性格一覧!$E14*Lv50時の伸び率!$W14*0.01)*(VLOOKUP($L$3,ギルド一覧!$B$4:$R$29,9,FALSE)),(VLOOKUP($K$7,'モンスター　一覧'!$B$4:$O$198,12,FALSE)*性格一覧!$E14*Lv50時の伸び率!$W14*0.01)*(VLOOKUP($L$3,ギルド一覧!$B$4:$R$29,15,FALSE)))</f>
        <v>177.27272727272728</v>
      </c>
      <c r="P23" s="193">
        <f>IF($L$4="通常",(VLOOKUP($K$7,'モンスター　一覧'!$B$4:$O$198,13,FALSE)*性格一覧!$F14*Lv50時の伸び率!$X14*0.01)*(VLOOKUP($L$3,ギルド一覧!$B$4:$R$29,10,FALSE)),(VLOOKUP($K$7,'モンスター　一覧'!$B$4:$O$198,13,FALSE)*性格一覧!$F14*Lv50時の伸び率!$X14*0.01)*(VLOOKUP($L$3,ギルド一覧!$B$4:$R$29,16,FALSE)))</f>
        <v>234.22680412371133</v>
      </c>
      <c r="Q23" s="194">
        <f>IF($L$4="通常",(VLOOKUP($K$7,'モンスター　一覧'!$B$4:$O$198,14,FALSE)*性格一覧!$G14*Lv50時の伸び率!$Y14*0.01)*(VLOOKUP($L$3,ギルド一覧!$B$4:$R$29,11,FALSE)),(VLOOKUP($K$7,'モンスター　一覧'!$B$4:$O$198,14,FALSE)*性格一覧!$G14*Lv50時の伸び率!$Y14*0.01)*VLOOKUP($L$3,ギルド一覧!$B$4:$R$29,17,FALSE))</f>
        <v>130.42016806722688</v>
      </c>
      <c r="R23" s="205">
        <f t="shared" si="1"/>
        <v>1049.0829252701169</v>
      </c>
      <c r="T23" s="64" t="s">
        <v>326</v>
      </c>
      <c r="U23" s="193">
        <f>IF($U$4="通常",(VLOOKUP($T$7,'モンスター　一覧'!$B$4:$O$198,9,FALSE)*性格一覧!$B14*Lv50時の伸び率!$T14*0.01)*(VLOOKUP($U$3,ギルド一覧!$B$4:$R$29,6,FALSE)),(VLOOKUP($T$7,'モンスター　一覧'!$B$4:$O$198,9,FALSE)*性格一覧!$B14*Lv50時の伸び率!$T14*0.01)*(VLOOKUP($U$3,ギルド一覧!$B$4:$R$29,12,FALSE)))</f>
        <v>340.64516129032256</v>
      </c>
      <c r="V23" s="193">
        <f>IF($T$4="通常",(VLOOKUP($T$7,'モンスター　一覧'!$B$4:$O$198,10,FALSE)*性格一覧!$C14*Lv50時の伸び率!$U14*0.01)*(VLOOKUP($U$3,ギルド一覧!$B$4:$R$29,7,FALSE)),(VLOOKUP($T$7,'モンスター　一覧'!$B$4:$O$198,10,FALSE)*性格一覧!$C14*Lv50時の伸び率!$U14*0.01)*(VLOOKUP($U$3,ギルド一覧!$B$4:$R$29,13,FALSE)))</f>
        <v>142.50000000000003</v>
      </c>
      <c r="W23" s="193">
        <f>IF($U$4="通常",(VLOOKUP($T$7,'モンスター　一覧'!$B$4:$O$198,11,FALSE)*性格一覧!$D14*Lv50時の伸び率!$V14*0.01)*(VLOOKUP($U$3,ギルド一覧!$B$4:$R$29,8,FALSE)),(VLOOKUP($T$7,'モンスター　一覧'!$B$4:$O$198,11,FALSE)*性格一覧!$D14*Lv50時の伸び率!$V14*0.01)*(VLOOKUP($C$3,ギルド一覧!$B$4:$R$29,14,FALSE)))</f>
        <v>160.93333333333334</v>
      </c>
      <c r="X23" s="193">
        <f>IF($U$4="通常",(VLOOKUP($T$7,'モンスター　一覧'!$B$4:$O$198,12,FALSE)*性格一覧!$E14*Lv50時の伸び率!$W14*0.01)*(VLOOKUP($U$3,ギルド一覧!$B$4:$R$29,9,FALSE)),(VLOOKUP($T$7,'モンスター　一覧'!$B$4:$O$198,12,FALSE)*性格一覧!$E14*Lv50時の伸び率!$W14*0.01)*(VLOOKUP($U$3,ギルド一覧!$B$4:$R$29,15,FALSE)))</f>
        <v>126.2181818181818</v>
      </c>
      <c r="Y23" s="193">
        <f>IF($U$4="通常",(VLOOKUP($T$7,'モンスター　一覧'!$B$4:$O$198,13,FALSE)*性格一覧!$F14*Lv50時の伸び率!$X14*0.01)*(VLOOKUP($U$3,ギルド一覧!$B$4:$R$29,10,FALSE)),(VLOOKUP($T$7,'モンスター　一覧'!$B$4:$O$198,13,FALSE)*性格一覧!$F14*Lv50時の伸び率!$X14*0.01)*(VLOOKUP($U$3,ギルド一覧!$B$4:$R$29,16,FALSE)))</f>
        <v>169.0721649484536</v>
      </c>
      <c r="Z23" s="194">
        <f>IF($U$4="通常",(VLOOKUP($T$7,'モンスター　一覧'!$B$4:$O$198,14,FALSE)*性格一覧!$G14*Lv50時の伸び率!$Y14*0.01)*(VLOOKUP($U$3,ギルド一覧!$B$4:$R$29,11,FALSE)),(VLOOKUP($T$7,'モンスター　一覧'!$B$4:$O$198,14,FALSE)*性格一覧!$G14*Lv50時の伸び率!$Y14*0.01)*VLOOKUP($U$3,ギルド一覧!$B$4:$R$29,17,FALSE))</f>
        <v>207.04201680672267</v>
      </c>
      <c r="AA23" s="205">
        <f t="shared" si="2"/>
        <v>1146.410858197014</v>
      </c>
      <c r="AC23" s="152" t="s">
        <v>139</v>
      </c>
      <c r="AD23" s="219" t="s">
        <v>862</v>
      </c>
    </row>
    <row r="24" spans="2:30" s="55" customFormat="1" ht="12">
      <c r="B24" s="64" t="s">
        <v>29</v>
      </c>
      <c r="C24" s="193">
        <f>IF($C$4="通常",(VLOOKUP($B$7,'モンスター　一覧'!$B$4:$O$198,9,FALSE)*性格一覧!$B15*Lv50時の伸び率!T15*0.01)*(VLOOKUP($C$3,ギルド一覧!$B$4:$R$29,6,FALSE)),(VLOOKUP($B$7,'モンスター　一覧'!$B$4:$O$198,9,FALSE)*性格一覧!$B15*Lv50時の伸び率!T15*0.01)*(VLOOKUP($C$3,ギルド一覧!$B$4:$R$29,12,FALSE)))</f>
        <v>304.8648648648649</v>
      </c>
      <c r="D24" s="193">
        <f>IF($C$4="通常",(VLOOKUP($B$7,'モンスター　一覧'!$B$4:$O$198,10,FALSE)*性格一覧!$C15*Lv50時の伸び率!U15*0.01)*(VLOOKUP($C$3,ギルド一覧!$B$4:$R$29,7,FALSE)),(VLOOKUP($B$7,'モンスター　一覧'!$B$4:$O$198,10,FALSE)*性格一覧!$C15*Lv50時の伸び率!U15*0.01)*(VLOOKUP($C$3,ギルド一覧!$B$4:$R$29,13,FALSE)))</f>
        <v>59.838709677419345</v>
      </c>
      <c r="E24" s="193">
        <f>IF($C$4="通常",(VLOOKUP($B$7,'モンスター　一覧'!$B$4:$O$198,11,FALSE)*性格一覧!$D15*Lv50時の伸び率!V15*0.01)*(VLOOKUP($C$3,ギルド一覧!$B$4:$R$29,8,FALSE)),(VLOOKUP($B$7,'モンスター　一覧'!$B$4:$O$198,11,FALSE)*性格一覧!$D15*Lv50時の伸び率!V15*0.01)*(VLOOKUP($C$3,ギルド一覧!$B$4:$R$29,14,FALSE)))</f>
        <v>253.91869918699189</v>
      </c>
      <c r="F24" s="193">
        <f>IF($C$4="通常",(VLOOKUP($B$7,'モンスター　一覧'!$B$4:$O$198,12,FALSE)*性格一覧!$E15*Lv50時の伸び率!W15*0.01)*(VLOOKUP($C$3,ギルド一覧!$B$4:$R$29,9,FALSE)),(VLOOKUP($B$7,'モンスター　一覧'!$B$4:$O$198,12,FALSE)*性格一覧!$E15*Lv50時の伸び率!W15*0.01)*(VLOOKUP($C$3,ギルド一覧!$B$4:$R$29,15,FALSE)))</f>
        <v>36.63636363636364</v>
      </c>
      <c r="G24" s="193">
        <f>IF($C$4="通常",(VLOOKUP($B$7,'モンスター　一覧'!$B$4:$O$198,13,FALSE)*性格一覧!$F15*Lv50時の伸び率!X15*0.01)*(VLOOKUP($C$3,ギルド一覧!$B$4:$R$29,10,FALSE)),(VLOOKUP($B$7,'モンスター　一覧'!$B$4:$O$198,13,FALSE)*性格一覧!$F15*Lv50時の伸び率!X15*0.01)*(VLOOKUP($C$3,ギルド一覧!$B$4:$R$29,16,FALSE)))</f>
        <v>107.46428571428572</v>
      </c>
      <c r="H24" s="201">
        <f>IF($C$4="通常",(VLOOKUP($B$7,'モンスター　一覧'!$B$4:$O$198,14,FALSE)*性格一覧!$G15*Lv50時の伸び率!Y15*0.01)*(VLOOKUP($C$3,ギルド一覧!$B$4:$R$29,11,FALSE)),(VLOOKUP($B$7,'モンスター　一覧'!$B$4:$O$198,14,FALSE)*性格一覧!$G15*Lv50時の伸び率!Y15*0.01)*VLOOKUP($C$3,ギルド一覧!$B$4:$R$29,17,FALSE))</f>
        <v>25.030303030303031</v>
      </c>
      <c r="I24" s="205">
        <f t="shared" si="0"/>
        <v>787.75322611022852</v>
      </c>
      <c r="J24" s="56"/>
      <c r="K24" s="198" t="s">
        <v>29</v>
      </c>
      <c r="L24" s="193">
        <f>IF($L$4="通常",(VLOOKUP($K$7,'モンスター　一覧'!$B$4:$O$198,9,FALSE)*性格一覧!$B15*Lv50時の伸び率!$T15*0.01)*(VLOOKUP($C$3,ギルド一覧!$B$4:$R$29,6,FALSE)),(VLOOKUP($K$7,'モンスター　一覧'!$B$4:$O$198,9,FALSE)*性格一覧!$B15*Lv50時の伸び率!$T15*0.01)*(VLOOKUP($C$3,ギルド一覧!$B$4:$R$29,12,FALSE)))</f>
        <v>203.24324324324323</v>
      </c>
      <c r="M24" s="193">
        <f>IF($L$4="通常",(VLOOKUP($K$7,'モンスター　一覧'!$B$4:$O$198,10,FALSE)*性格一覧!$C15*Lv50時の伸び率!$U15*0.01)*(VLOOKUP($L$3,ギルド一覧!$B$4:$R$29,7,FALSE)),(VLOOKUP($K$7,'モンスター　一覧'!$B$4:$O$198,10,FALSE)*性格一覧!$C15*Lv50時の伸び率!$U15*0.01)*(VLOOKUP($L$3,ギルド一覧!$B$4:$R$29,13,FALSE)))</f>
        <v>102.58064516129032</v>
      </c>
      <c r="N24" s="193">
        <f>IF($L$4="通常",(VLOOKUP($K$7,'モンスター　一覧'!$B$4:$O$198,11,FALSE)*性格一覧!$D15*Lv50時の伸び率!$V15*0.01)*(VLOOKUP($L$3,ギルド一覧!$B$4:$R$29,8,FALSE)),(VLOOKUP($K$7,'モンスター　一覧'!$B$4:$O$198,11,FALSE)*性格一覧!$D15*Lv50時の伸び率!$V15*0.01)*(VLOOKUP($C$3,ギルド一覧!$B$4:$R$29,14,FALSE)))</f>
        <v>190.4390243902439</v>
      </c>
      <c r="O24" s="193">
        <f>IF($L$4="通常",(VLOOKUP($K$7,'モンスター　一覧'!$B$4:$O$198,12,FALSE)*性格一覧!$E15*Lv50時の伸び率!$W15*0.01)*(VLOOKUP($L$3,ギルド一覧!$B$4:$R$29,9,FALSE)),(VLOOKUP($K$7,'モンスター　一覧'!$B$4:$O$198,12,FALSE)*性格一覧!$E15*Lv50時の伸び率!$W15*0.01)*(VLOOKUP($L$3,ギルド一覧!$B$4:$R$29,15,FALSE)))</f>
        <v>176.13636363636365</v>
      </c>
      <c r="P24" s="193">
        <f>IF($L$4="通常",(VLOOKUP($K$7,'モンスター　一覧'!$B$4:$O$198,13,FALSE)*性格一覧!$F15*Lv50時の伸び率!$X15*0.01)*(VLOOKUP($L$3,ギルド一覧!$B$4:$R$29,10,FALSE)),(VLOOKUP($K$7,'モンスター　一覧'!$B$4:$O$198,13,FALSE)*性格一覧!$F15*Lv50時の伸び率!$X15*0.01)*(VLOOKUP($L$3,ギルド一覧!$B$4:$R$29,16,FALSE)))</f>
        <v>239.37142857142859</v>
      </c>
      <c r="Q24" s="194">
        <f>IF($L$4="通常",(VLOOKUP($K$7,'モンスター　一覧'!$B$4:$O$198,14,FALSE)*性格一覧!$G15*Lv50時の伸び率!$Y15*0.01)*(VLOOKUP($L$3,ギルド一覧!$B$4:$R$29,11,FALSE)),(VLOOKUP($K$7,'モンスター　一覧'!$B$4:$O$198,14,FALSE)*性格一覧!$G15*Lv50時の伸び率!$Y15*0.01)*VLOOKUP($L$3,ギルド一覧!$B$4:$R$29,17,FALSE))</f>
        <v>143.03030303030303</v>
      </c>
      <c r="R24" s="205">
        <f t="shared" si="1"/>
        <v>1054.8010080328727</v>
      </c>
      <c r="T24" s="64" t="s">
        <v>29</v>
      </c>
      <c r="U24" s="193">
        <f>IF($U$4="通常",(VLOOKUP($T$7,'モンスター　一覧'!$B$4:$O$198,9,FALSE)*性格一覧!$B15*Lv50時の伸び率!$T15*0.01)*(VLOOKUP($U$3,ギルド一覧!$B$4:$R$29,6,FALSE)),(VLOOKUP($T$7,'モンスター　一覧'!$B$4:$O$198,9,FALSE)*性格一覧!$B15*Lv50時の伸び率!$T15*0.01)*(VLOOKUP($U$3,ギルド一覧!$B$4:$R$29,12,FALSE)))</f>
        <v>325.18918918918922</v>
      </c>
      <c r="V24" s="193">
        <f>IF($T$4="通常",(VLOOKUP($T$7,'モンスター　一覧'!$B$4:$O$198,10,FALSE)*性格一覧!$C15*Lv50時の伸び率!$U15*0.01)*(VLOOKUP($U$3,ギルド一覧!$B$4:$R$29,7,FALSE)),(VLOOKUP($T$7,'モンスター　一覧'!$B$4:$O$198,10,FALSE)*性格一覧!$C15*Lv50時の伸び率!$U15*0.01)*(VLOOKUP($U$3,ギルド一覧!$B$4:$R$29,13,FALSE)))</f>
        <v>129.93548387096774</v>
      </c>
      <c r="W24" s="193">
        <f>IF($U$4="通常",(VLOOKUP($T$7,'モンスター　一覧'!$B$4:$O$198,11,FALSE)*性格一覧!$D15*Lv50時の伸び率!$V15*0.01)*(VLOOKUP($U$3,ギルド一覧!$B$4:$R$29,8,FALSE)),(VLOOKUP($T$7,'モンスター　一覧'!$B$4:$O$198,11,FALSE)*性格一覧!$D15*Lv50時の伸び率!$V15*0.01)*(VLOOKUP($C$3,ギルド一覧!$B$4:$R$29,14,FALSE)))</f>
        <v>168.61788617886177</v>
      </c>
      <c r="X24" s="193">
        <f>IF($U$4="通常",(VLOOKUP($T$7,'モンスター　一覧'!$B$4:$O$198,12,FALSE)*性格一覧!$E15*Lv50時の伸び率!$W15*0.01)*(VLOOKUP($U$3,ギルド一覧!$B$4:$R$29,9,FALSE)),(VLOOKUP($T$7,'モンスター　一覧'!$B$4:$O$198,12,FALSE)*性格一覧!$E15*Lv50時の伸び率!$W15*0.01)*(VLOOKUP($U$3,ギルド一覧!$B$4:$R$29,15,FALSE)))</f>
        <v>125.40909090909092</v>
      </c>
      <c r="Y24" s="193">
        <f>IF($U$4="通常",(VLOOKUP($T$7,'モンスター　一覧'!$B$4:$O$198,13,FALSE)*性格一覧!$F15*Lv50時の伸び率!$X15*0.01)*(VLOOKUP($U$3,ギルド一覧!$B$4:$R$29,10,FALSE)),(VLOOKUP($T$7,'モンスター　一覧'!$B$4:$O$198,13,FALSE)*性格一覧!$F15*Lv50時の伸び率!$X15*0.01)*(VLOOKUP($U$3,ギルド一覧!$B$4:$R$29,16,FALSE)))</f>
        <v>172.78571428571431</v>
      </c>
      <c r="Z24" s="194">
        <f>IF($U$4="通常",(VLOOKUP($T$7,'モンスター　一覧'!$B$4:$O$198,14,FALSE)*性格一覧!$G15*Lv50時の伸び率!$Y15*0.01)*(VLOOKUP($U$3,ギルド一覧!$B$4:$R$29,11,FALSE)),(VLOOKUP($T$7,'モンスター　一覧'!$B$4:$O$198,14,FALSE)*性格一覧!$G15*Lv50時の伸び率!$Y15*0.01)*VLOOKUP($U$3,ギルド一覧!$B$4:$R$29,17,FALSE))</f>
        <v>227.06060606060603</v>
      </c>
      <c r="AA24" s="205">
        <f t="shared" si="2"/>
        <v>1148.9979704944301</v>
      </c>
      <c r="AC24" s="152" t="s">
        <v>216</v>
      </c>
      <c r="AD24" s="219" t="s">
        <v>863</v>
      </c>
    </row>
    <row r="25" spans="2:30" s="55" customFormat="1" ht="12">
      <c r="B25" s="64" t="s">
        <v>30</v>
      </c>
      <c r="C25" s="193">
        <f>IF($C$4="通常",(VLOOKUP($B$7,'モンスター　一覧'!$B$4:$O$198,9,FALSE)*性格一覧!$B16*Lv50時の伸び率!T16*0.01)*(VLOOKUP($C$3,ギルド一覧!$B$4:$R$29,6,FALSE)),(VLOOKUP($B$7,'モンスター　一覧'!$B$4:$O$198,9,FALSE)*性格一覧!$B16*Lv50時の伸び率!T16*0.01)*(VLOOKUP($C$3,ギルド一覧!$B$4:$R$29,12,FALSE)))</f>
        <v>279.72972972972974</v>
      </c>
      <c r="D25" s="193">
        <f>IF($C$4="通常",(VLOOKUP($B$7,'モンスター　一覧'!$B$4:$O$198,10,FALSE)*性格一覧!$C16*Lv50時の伸び率!U16*0.01)*(VLOOKUP($C$3,ギルド一覧!$B$4:$R$29,7,FALSE)),(VLOOKUP($B$7,'モンスター　一覧'!$B$4:$O$198,10,FALSE)*性格一覧!$C16*Lv50時の伸び率!U16*0.01)*(VLOOKUP($C$3,ギルド一覧!$B$4:$R$29,13,FALSE)))</f>
        <v>57.580645161290334</v>
      </c>
      <c r="E25" s="193">
        <f>IF($C$4="通常",(VLOOKUP($B$7,'モンスター　一覧'!$B$4:$O$198,11,FALSE)*性格一覧!$D16*Lv50時の伸び率!V16*0.01)*(VLOOKUP($C$3,ギルド一覧!$B$4:$R$29,8,FALSE)),(VLOOKUP($B$7,'モンスター　一覧'!$B$4:$O$198,11,FALSE)*性格一覧!$D16*Lv50時の伸び率!V16*0.01)*(VLOOKUP($C$3,ギルド一覧!$B$4:$R$29,14,FALSE)))</f>
        <v>300.7479674796748</v>
      </c>
      <c r="F25" s="193">
        <f>IF($C$4="通常",(VLOOKUP($B$7,'モンスター　一覧'!$B$4:$O$198,12,FALSE)*性格一覧!$E16*Lv50時の伸び率!W16*0.01)*(VLOOKUP($C$3,ギルド一覧!$B$4:$R$29,9,FALSE)),(VLOOKUP($B$7,'モンスター　一覧'!$B$4:$O$198,12,FALSE)*性格一覧!$E16*Lv50時の伸び率!W16*0.01)*(VLOOKUP($C$3,ギルド一覧!$B$4:$R$29,15,FALSE)))</f>
        <v>35.927272727272729</v>
      </c>
      <c r="G25" s="193">
        <f>IF($C$4="通常",(VLOOKUP($B$7,'モンスター　一覧'!$B$4:$O$198,13,FALSE)*性格一覧!$F16*Lv50時の伸び率!X16*0.01)*(VLOOKUP($C$3,ギルド一覧!$B$4:$R$29,10,FALSE)),(VLOOKUP($B$7,'モンスター　一覧'!$B$4:$O$198,13,FALSE)*性格一覧!$F16*Lv50時の伸び率!X16*0.01)*(VLOOKUP($C$3,ギルド一覧!$B$4:$R$29,16,FALSE)))</f>
        <v>105.64285714285714</v>
      </c>
      <c r="H25" s="201">
        <f>IF($C$4="通常",(VLOOKUP($B$7,'モンスター　一覧'!$B$4:$O$198,14,FALSE)*性格一覧!$G16*Lv50時の伸び率!Y16*0.01)*(VLOOKUP($C$3,ギルド一覧!$B$4:$R$29,11,FALSE)),(VLOOKUP($B$7,'モンスター　一覧'!$B$4:$O$198,14,FALSE)*性格一覧!$G16*Lv50時の伸び率!Y16*0.01)*VLOOKUP($C$3,ギルド一覧!$B$4:$R$29,17,FALSE))</f>
        <v>19.939393939393941</v>
      </c>
      <c r="I25" s="205">
        <f t="shared" si="0"/>
        <v>799.56786618021863</v>
      </c>
      <c r="J25" s="56"/>
      <c r="K25" s="198" t="s">
        <v>30</v>
      </c>
      <c r="L25" s="193">
        <f>IF($L$4="通常",(VLOOKUP($K$7,'モンスター　一覧'!$B$4:$O$198,9,FALSE)*性格一覧!$B16*Lv50時の伸び率!$T16*0.01)*(VLOOKUP($C$3,ギルド一覧!$B$4:$R$29,6,FALSE)),(VLOOKUP($K$7,'モンスター　一覧'!$B$4:$O$198,9,FALSE)*性格一覧!$B16*Lv50時の伸び率!$T16*0.01)*(VLOOKUP($C$3,ギルド一覧!$B$4:$R$29,12,FALSE)))</f>
        <v>186.48648648648651</v>
      </c>
      <c r="M25" s="193">
        <f>IF($L$4="通常",(VLOOKUP($K$7,'モンスター　一覧'!$B$4:$O$198,10,FALSE)*性格一覧!$C16*Lv50時の伸び率!$U16*0.01)*(VLOOKUP($L$3,ギルド一覧!$B$4:$R$29,7,FALSE)),(VLOOKUP($K$7,'モンスター　一覧'!$B$4:$O$198,10,FALSE)*性格一覧!$C16*Lv50時の伸び率!$U16*0.01)*(VLOOKUP($L$3,ギルド一覧!$B$4:$R$29,13,FALSE)))</f>
        <v>98.709677419354847</v>
      </c>
      <c r="N25" s="193">
        <f>IF($L$4="通常",(VLOOKUP($K$7,'モンスター　一覧'!$B$4:$O$198,11,FALSE)*性格一覧!$D16*Lv50時の伸び率!$V16*0.01)*(VLOOKUP($L$3,ギルド一覧!$B$4:$R$29,8,FALSE)),(VLOOKUP($K$7,'モンスター　一覧'!$B$4:$O$198,11,FALSE)*性格一覧!$D16*Lv50時の伸び率!$V16*0.01)*(VLOOKUP($C$3,ギルド一覧!$B$4:$R$29,14,FALSE)))</f>
        <v>225.5609756097561</v>
      </c>
      <c r="O25" s="193">
        <f>IF($L$4="通常",(VLOOKUP($K$7,'モンスター　一覧'!$B$4:$O$198,12,FALSE)*性格一覧!$E16*Lv50時の伸び率!$W16*0.01)*(VLOOKUP($L$3,ギルド一覧!$B$4:$R$29,9,FALSE)),(VLOOKUP($K$7,'モンスター　一覧'!$B$4:$O$198,12,FALSE)*性格一覧!$E16*Lv50時の伸び率!$W16*0.01)*(VLOOKUP($L$3,ギルド一覧!$B$4:$R$29,15,FALSE)))</f>
        <v>172.72727272727272</v>
      </c>
      <c r="P25" s="193">
        <f>IF($L$4="通常",(VLOOKUP($K$7,'モンスター　一覧'!$B$4:$O$198,13,FALSE)*性格一覧!$F16*Lv50時の伸び率!$X16*0.01)*(VLOOKUP($L$3,ギルド一覧!$B$4:$R$29,10,FALSE)),(VLOOKUP($K$7,'モンスター　一覧'!$B$4:$O$198,13,FALSE)*性格一覧!$F16*Lv50時の伸び率!$X16*0.01)*(VLOOKUP($L$3,ギルド一覧!$B$4:$R$29,16,FALSE)))</f>
        <v>235.31428571428575</v>
      </c>
      <c r="Q25" s="194">
        <f>IF($L$4="通常",(VLOOKUP($K$7,'モンスター　一覧'!$B$4:$O$198,14,FALSE)*性格一覧!$G16*Lv50時の伸び率!$Y16*0.01)*(VLOOKUP($L$3,ギルド一覧!$B$4:$R$29,11,FALSE)),(VLOOKUP($K$7,'モンスター　一覧'!$B$4:$O$198,14,FALSE)*性格一覧!$G16*Lv50時の伸び率!$Y16*0.01)*VLOOKUP($L$3,ギルド一覧!$B$4:$R$29,17,FALSE))</f>
        <v>113.93939393939394</v>
      </c>
      <c r="R25" s="205">
        <f t="shared" si="1"/>
        <v>1032.7380918965498</v>
      </c>
      <c r="T25" s="64" t="s">
        <v>30</v>
      </c>
      <c r="U25" s="193">
        <f>IF($U$4="通常",(VLOOKUP($T$7,'モンスター　一覧'!$B$4:$O$198,9,FALSE)*性格一覧!$B16*Lv50時の伸び率!$T16*0.01)*(VLOOKUP($U$3,ギルド一覧!$B$4:$R$29,6,FALSE)),(VLOOKUP($T$7,'モンスター　一覧'!$B$4:$O$198,9,FALSE)*性格一覧!$B16*Lv50時の伸び率!$T16*0.01)*(VLOOKUP($U$3,ギルド一覧!$B$4:$R$29,12,FALSE)))</f>
        <v>298.37837837837839</v>
      </c>
      <c r="V25" s="193">
        <f>IF($T$4="通常",(VLOOKUP($T$7,'モンスター　一覧'!$B$4:$O$198,10,FALSE)*性格一覧!$C16*Lv50時の伸び率!$U16*0.01)*(VLOOKUP($U$3,ギルド一覧!$B$4:$R$29,7,FALSE)),(VLOOKUP($T$7,'モンスター　一覧'!$B$4:$O$198,10,FALSE)*性格一覧!$C16*Lv50時の伸び率!$U16*0.01)*(VLOOKUP($U$3,ギルド一覧!$B$4:$R$29,13,FALSE)))</f>
        <v>125.03225806451614</v>
      </c>
      <c r="W25" s="193">
        <f>IF($U$4="通常",(VLOOKUP($T$7,'モンスター　一覧'!$B$4:$O$198,11,FALSE)*性格一覧!$D16*Lv50時の伸び率!$V16*0.01)*(VLOOKUP($U$3,ギルド一覧!$B$4:$R$29,8,FALSE)),(VLOOKUP($T$7,'モンスター　一覧'!$B$4:$O$198,11,FALSE)*性格一覧!$D16*Lv50時の伸び率!$V16*0.01)*(VLOOKUP($C$3,ギルド一覧!$B$4:$R$29,14,FALSE)))</f>
        <v>199.71544715447155</v>
      </c>
      <c r="X25" s="193">
        <f>IF($U$4="通常",(VLOOKUP($T$7,'モンスター　一覧'!$B$4:$O$198,12,FALSE)*性格一覧!$E16*Lv50時の伸び率!$W16*0.01)*(VLOOKUP($U$3,ギルド一覧!$B$4:$R$29,9,FALSE)),(VLOOKUP($T$7,'モンスター　一覧'!$B$4:$O$198,12,FALSE)*性格一覧!$E16*Lv50時の伸び率!$W16*0.01)*(VLOOKUP($U$3,ギルド一覧!$B$4:$R$29,15,FALSE)))</f>
        <v>122.98181818181818</v>
      </c>
      <c r="Y25" s="193">
        <f>IF($U$4="通常",(VLOOKUP($T$7,'モンスター　一覧'!$B$4:$O$198,13,FALSE)*性格一覧!$F16*Lv50時の伸び率!$X16*0.01)*(VLOOKUP($U$3,ギルド一覧!$B$4:$R$29,10,FALSE)),(VLOOKUP($T$7,'モンスター　一覧'!$B$4:$O$198,13,FALSE)*性格一覧!$F16*Lv50時の伸び率!$X16*0.01)*(VLOOKUP($U$3,ギルド一覧!$B$4:$R$29,16,FALSE)))</f>
        <v>169.85714285714286</v>
      </c>
      <c r="Z25" s="194">
        <f>IF($U$4="通常",(VLOOKUP($T$7,'モンスター　一覧'!$B$4:$O$198,14,FALSE)*性格一覧!$G16*Lv50時の伸び率!$Y16*0.01)*(VLOOKUP($U$3,ギルド一覧!$B$4:$R$29,11,FALSE)),(VLOOKUP($T$7,'モンスター　一覧'!$B$4:$O$198,14,FALSE)*性格一覧!$G16*Lv50時の伸び率!$Y16*0.01)*VLOOKUP($U$3,ギルド一覧!$B$4:$R$29,17,FALSE))</f>
        <v>180.87878787878788</v>
      </c>
      <c r="AA25" s="205">
        <f t="shared" si="2"/>
        <v>1096.8438325151151</v>
      </c>
      <c r="AC25" s="152" t="s">
        <v>138</v>
      </c>
      <c r="AD25" s="219" t="s">
        <v>864</v>
      </c>
    </row>
    <row r="26" spans="2:30" s="55" customFormat="1">
      <c r="B26" s="64" t="s">
        <v>31</v>
      </c>
      <c r="C26" s="193">
        <f>IF($C$4="通常",(VLOOKUP($B$7,'モンスター　一覧'!$B$4:$O$198,9,FALSE)*性格一覧!$B17*Lv50時の伸び率!T17*0.01)*(VLOOKUP($C$3,ギルド一覧!$B$4:$R$29,6,FALSE)),(VLOOKUP($B$7,'モンスター　一覧'!$B$4:$O$198,9,FALSE)*性格一覧!$B17*Lv50時の伸び率!T17*0.01)*(VLOOKUP($C$3,ギルド一覧!$B$4:$R$29,12,FALSE)))</f>
        <v>372.58064516129031</v>
      </c>
      <c r="D26" s="193">
        <f>IF($C$4="通常",(VLOOKUP($B$7,'モンスター　一覧'!$B$4:$O$198,10,FALSE)*性格一覧!$C17*Lv50時の伸び率!U17*0.01)*(VLOOKUP($C$3,ギルド一覧!$B$4:$R$29,7,FALSE)),(VLOOKUP($B$7,'モンスター　一覧'!$B$4:$O$198,10,FALSE)*性格一覧!$C17*Lv50時の伸び率!U17*0.01)*(VLOOKUP($C$3,ギルド一覧!$B$4:$R$29,13,FALSE)))</f>
        <v>54.6875</v>
      </c>
      <c r="E26" s="193">
        <f>IF($C$4="通常",(VLOOKUP($B$7,'モンスター　一覧'!$B$4:$O$198,11,FALSE)*性格一覧!$D17*Lv50時の伸び率!V17*0.01)*(VLOOKUP($C$3,ギルド一覧!$B$4:$R$29,8,FALSE)),(VLOOKUP($B$7,'モンスター　一覧'!$B$4:$O$198,11,FALSE)*性格一覧!$D17*Lv50時の伸び率!V17*0.01)*(VLOOKUP($C$3,ギルド一覧!$B$4:$R$29,14,FALSE)))</f>
        <v>262.82666666666665</v>
      </c>
      <c r="F26" s="193">
        <f>IF($C$4="通常",(VLOOKUP($B$7,'モンスター　一覧'!$B$4:$O$198,12,FALSE)*性格一覧!$E17*Lv50時の伸び率!W17*0.01)*(VLOOKUP($C$3,ギルド一覧!$B$4:$R$29,9,FALSE)),(VLOOKUP($B$7,'モンスター　一覧'!$B$4:$O$198,12,FALSE)*性格一覧!$E17*Lv50時の伸び率!W17*0.01)*(VLOOKUP($C$3,ギルド一覧!$B$4:$R$29,15,FALSE)))</f>
        <v>62.163636363636371</v>
      </c>
      <c r="G26" s="193">
        <f>IF($C$4="通常",(VLOOKUP($B$7,'モンスター　一覧'!$B$4:$O$198,13,FALSE)*性格一覧!$F17*Lv50時の伸び率!X17*0.01)*(VLOOKUP($C$3,ギルド一覧!$B$4:$R$29,10,FALSE)),(VLOOKUP($B$7,'モンスター　一覧'!$B$4:$O$198,13,FALSE)*性格一覧!$F17*Lv50時の伸び率!X17*0.01)*(VLOOKUP($C$3,ギルド一覧!$B$4:$R$29,16,FALSE)))</f>
        <v>64.670103092783506</v>
      </c>
      <c r="H26" s="201">
        <f>IF($C$4="通常",(VLOOKUP($B$7,'モンスター　一覧'!$B$4:$O$198,14,FALSE)*性格一覧!$G17*Lv50時の伸び率!Y17*0.01)*(VLOOKUP($C$3,ギルド一覧!$B$4:$R$29,11,FALSE)),(VLOOKUP($B$7,'モンスター　一覧'!$B$4:$O$198,14,FALSE)*性格一覧!$G17*Lv50時の伸び率!Y17*0.01)*VLOOKUP($C$3,ギルド一覧!$B$4:$R$29,17,FALSE))</f>
        <v>17.764705882352938</v>
      </c>
      <c r="I26" s="205">
        <f t="shared" si="0"/>
        <v>834.69325716672972</v>
      </c>
      <c r="J26" s="56"/>
      <c r="K26" s="198" t="s">
        <v>31</v>
      </c>
      <c r="L26" s="193">
        <f>IF($L$4="通常",(VLOOKUP($K$7,'モンスター　一覧'!$B$4:$O$198,9,FALSE)*性格一覧!$B17*Lv50時の伸び率!$T17*0.01)*(VLOOKUP($C$3,ギルド一覧!$B$4:$R$29,6,FALSE)),(VLOOKUP($K$7,'モンスター　一覧'!$B$4:$O$198,9,FALSE)*性格一覧!$B17*Lv50時の伸び率!$T17*0.01)*(VLOOKUP($C$3,ギルド一覧!$B$4:$R$29,12,FALSE)))</f>
        <v>248.38709677419357</v>
      </c>
      <c r="M26" s="193">
        <f>IF($L$4="通常",(VLOOKUP($K$7,'モンスター　一覧'!$B$4:$O$198,10,FALSE)*性格一覧!$C17*Lv50時の伸び率!$U17*0.01)*(VLOOKUP($L$3,ギルド一覧!$B$4:$R$29,7,FALSE)),(VLOOKUP($K$7,'モンスター　一覧'!$B$4:$O$198,10,FALSE)*性格一覧!$C17*Lv50時の伸び率!$U17*0.01)*(VLOOKUP($L$3,ギルド一覧!$B$4:$R$29,13,FALSE)))</f>
        <v>93.75</v>
      </c>
      <c r="N26" s="193">
        <f>IF($L$4="通常",(VLOOKUP($K$7,'モンスター　一覧'!$B$4:$O$198,11,FALSE)*性格一覧!$D17*Lv50時の伸び率!$V17*0.01)*(VLOOKUP($L$3,ギルド一覧!$B$4:$R$29,8,FALSE)),(VLOOKUP($K$7,'モンスター　一覧'!$B$4:$O$198,11,FALSE)*性格一覧!$D17*Lv50時の伸び率!$V17*0.01)*(VLOOKUP($C$3,ギルド一覧!$B$4:$R$29,14,FALSE)))</f>
        <v>197.12</v>
      </c>
      <c r="O26" s="193">
        <f>IF($L$4="通常",(VLOOKUP($K$7,'モンスター　一覧'!$B$4:$O$198,12,FALSE)*性格一覧!$E17*Lv50時の伸び率!$W17*0.01)*(VLOOKUP($L$3,ギルド一覧!$B$4:$R$29,9,FALSE)),(VLOOKUP($K$7,'モンスター　一覧'!$B$4:$O$198,12,FALSE)*性格一覧!$E17*Lv50時の伸び率!$W17*0.01)*(VLOOKUP($L$3,ギルド一覧!$B$4:$R$29,15,FALSE)))</f>
        <v>298.86363636363643</v>
      </c>
      <c r="P26" s="193">
        <f>IF($L$4="通常",(VLOOKUP($K$7,'モンスター　一覧'!$B$4:$O$198,13,FALSE)*性格一覧!$F17*Lv50時の伸び率!$X17*0.01)*(VLOOKUP($L$3,ギルド一覧!$B$4:$R$29,10,FALSE)),(VLOOKUP($K$7,'モンスター　一覧'!$B$4:$O$198,13,FALSE)*性格一覧!$F17*Lv50時の伸び率!$X17*0.01)*(VLOOKUP($L$3,ギルド一覧!$B$4:$R$29,16,FALSE)))</f>
        <v>144.04948453608247</v>
      </c>
      <c r="Q26" s="194">
        <f>IF($L$4="通常",(VLOOKUP($K$7,'モンスター　一覧'!$B$4:$O$198,14,FALSE)*性格一覧!$G17*Lv50時の伸び率!$Y17*0.01)*(VLOOKUP($L$3,ギルド一覧!$B$4:$R$29,11,FALSE)),(VLOOKUP($K$7,'モンスター　一覧'!$B$4:$O$198,14,FALSE)*性格一覧!$G17*Lv50時の伸び率!$Y17*0.01)*VLOOKUP($L$3,ギルド一覧!$B$4:$R$29,17,FALSE))</f>
        <v>101.5126050420168</v>
      </c>
      <c r="R26" s="205">
        <f t="shared" si="1"/>
        <v>1083.6828227159292</v>
      </c>
      <c r="T26" s="64" t="s">
        <v>31</v>
      </c>
      <c r="U26" s="193">
        <f>IF($U$4="通常",(VLOOKUP($T$7,'モンスター　一覧'!$B$4:$O$198,9,FALSE)*性格一覧!$B17*Lv50時の伸び率!$T17*0.01)*(VLOOKUP($U$3,ギルド一覧!$B$4:$R$29,6,FALSE)),(VLOOKUP($T$7,'モンスター　一覧'!$B$4:$O$198,9,FALSE)*性格一覧!$B17*Lv50時の伸び率!$T17*0.01)*(VLOOKUP($U$3,ギルド一覧!$B$4:$R$29,12,FALSE)))</f>
        <v>397.41935483870969</v>
      </c>
      <c r="V26" s="193">
        <f>IF($T$4="通常",(VLOOKUP($T$7,'モンスター　一覧'!$B$4:$O$198,10,FALSE)*性格一覧!$C17*Lv50時の伸び率!$U17*0.01)*(VLOOKUP($U$3,ギルド一覧!$B$4:$R$29,7,FALSE)),(VLOOKUP($T$7,'モンスター　一覧'!$B$4:$O$198,10,FALSE)*性格一覧!$C17*Lv50時の伸び率!$U17*0.01)*(VLOOKUP($U$3,ギルド一覧!$B$4:$R$29,13,FALSE)))</f>
        <v>118.75</v>
      </c>
      <c r="W26" s="193">
        <f>IF($U$4="通常",(VLOOKUP($T$7,'モンスター　一覧'!$B$4:$O$198,11,FALSE)*性格一覧!$D17*Lv50時の伸び率!$V17*0.01)*(VLOOKUP($U$3,ギルド一覧!$B$4:$R$29,8,FALSE)),(VLOOKUP($T$7,'モンスター　一覧'!$B$4:$O$198,11,FALSE)*性格一覧!$D17*Lv50時の伸び率!$V17*0.01)*(VLOOKUP($C$3,ギルド一覧!$B$4:$R$29,14,FALSE)))</f>
        <v>174.53333333333333</v>
      </c>
      <c r="X26" s="193">
        <f>IF($U$4="通常",(VLOOKUP($T$7,'モンスター　一覧'!$B$4:$O$198,12,FALSE)*性格一覧!$E17*Lv50時の伸び率!$W17*0.01)*(VLOOKUP($U$3,ギルド一覧!$B$4:$R$29,9,FALSE)),(VLOOKUP($T$7,'モンスター　一覧'!$B$4:$O$198,12,FALSE)*性格一覧!$E17*Lv50時の伸び率!$W17*0.01)*(VLOOKUP($U$3,ギルド一覧!$B$4:$R$29,15,FALSE)))</f>
        <v>212.79090909090911</v>
      </c>
      <c r="Y26" s="193">
        <f>IF($U$4="通常",(VLOOKUP($T$7,'モンスター　一覧'!$B$4:$O$198,13,FALSE)*性格一覧!$F17*Lv50時の伸び率!$X17*0.01)*(VLOOKUP($U$3,ギルド一覧!$B$4:$R$29,10,FALSE)),(VLOOKUP($T$7,'モンスター　一覧'!$B$4:$O$198,13,FALSE)*性格一覧!$F17*Lv50時の伸び率!$X17*0.01)*(VLOOKUP($U$3,ギルド一覧!$B$4:$R$29,16,FALSE)))</f>
        <v>103.97938144329896</v>
      </c>
      <c r="Z26" s="194">
        <f>IF($U$4="通常",(VLOOKUP($T$7,'モンスター　一覧'!$B$4:$O$198,14,FALSE)*性格一覧!$G17*Lv50時の伸び率!$Y17*0.01)*(VLOOKUP($U$3,ギルド一覧!$B$4:$R$29,11,FALSE)),(VLOOKUP($T$7,'モンスター　一覧'!$B$4:$O$198,14,FALSE)*性格一覧!$G17*Lv50時の伸び率!$Y17*0.01)*VLOOKUP($U$3,ギルド一覧!$B$4:$R$29,17,FALSE))</f>
        <v>161.15126050420167</v>
      </c>
      <c r="AA26" s="205">
        <f t="shared" si="2"/>
        <v>1168.6242392104527</v>
      </c>
      <c r="AC26" s="152" t="s">
        <v>99</v>
      </c>
      <c r="AD26" s="235" t="s">
        <v>876</v>
      </c>
    </row>
    <row r="27" spans="2:30" s="55" customFormat="1" ht="12">
      <c r="B27" s="64" t="s">
        <v>32</v>
      </c>
      <c r="C27" s="193">
        <f>IF($C$4="通常",(VLOOKUP($B$7,'モンスター　一覧'!$B$4:$O$198,9,FALSE)*性格一覧!$B18*Lv50時の伸び率!T18*0.01)*(VLOOKUP($C$3,ギルド一覧!$B$4:$R$29,6,FALSE)),(VLOOKUP($B$7,'モンスター　一覧'!$B$4:$O$198,9,FALSE)*性格一覧!$B18*Lv50時の伸び率!T18*0.01)*(VLOOKUP($C$3,ギルド一覧!$B$4:$R$29,12,FALSE)))</f>
        <v>379.45945945945948</v>
      </c>
      <c r="D27" s="193">
        <f>IF($C$4="通常",(VLOOKUP($B$7,'モンスター　一覧'!$B$4:$O$198,10,FALSE)*性格一覧!$C18*Lv50時の伸び率!U18*0.01)*(VLOOKUP($C$3,ギルド一覧!$B$4:$R$29,7,FALSE)),(VLOOKUP($B$7,'モンスター　一覧'!$B$4:$O$198,10,FALSE)*性格一覧!$C18*Lv50時の伸び率!U18*0.01)*(VLOOKUP($C$3,ギルド一覧!$B$4:$R$29,13,FALSE)))</f>
        <v>50.806451612903224</v>
      </c>
      <c r="E27" s="193">
        <f>IF($C$4="通常",(VLOOKUP($B$7,'モンスター　一覧'!$B$4:$O$198,11,FALSE)*性格一覧!$D18*Lv50時の伸び率!V18*0.01)*(VLOOKUP($C$3,ギルド一覧!$B$4:$R$29,8,FALSE)),(VLOOKUP($B$7,'モンスター　一覧'!$B$4:$O$198,11,FALSE)*性格一覧!$D18*Lv50時の伸び率!V18*0.01)*(VLOOKUP($C$3,ギルド一覧!$B$4:$R$29,14,FALSE)))</f>
        <v>242.47154471544712</v>
      </c>
      <c r="F27" s="193">
        <f>IF($C$4="通常",(VLOOKUP($B$7,'モンスター　一覧'!$B$4:$O$198,12,FALSE)*性格一覧!$E18*Lv50時の伸び率!W18*0.01)*(VLOOKUP($C$3,ギルド一覧!$B$4:$R$29,9,FALSE)),(VLOOKUP($B$7,'モンスター　一覧'!$B$4:$O$198,12,FALSE)*性格一覧!$E18*Lv50時の伸び率!W18*0.01)*(VLOOKUP($C$3,ギルド一覧!$B$4:$R$29,15,FALSE)))</f>
        <v>42.309090909090912</v>
      </c>
      <c r="G27" s="193">
        <f>IF($C$4="通常",(VLOOKUP($B$7,'モンスター　一覧'!$B$4:$O$198,13,FALSE)*性格一覧!$F18*Lv50時の伸び率!X18*0.01)*(VLOOKUP($C$3,ギルド一覧!$B$4:$R$29,10,FALSE)),(VLOOKUP($B$7,'モンスター　一覧'!$B$4:$O$198,13,FALSE)*性格一覧!$F18*Lv50時の伸び率!X18*0.01)*(VLOOKUP($C$3,ギルド一覧!$B$4:$R$29,16,FALSE)))</f>
        <v>85.607142857142861</v>
      </c>
      <c r="H27" s="201">
        <f>IF($C$4="通常",(VLOOKUP($B$7,'モンスター　一覧'!$B$4:$O$198,14,FALSE)*性格一覧!$G18*Lv50時の伸び率!Y18*0.01)*(VLOOKUP($C$3,ギルド一覧!$B$4:$R$29,11,FALSE)),(VLOOKUP($B$7,'モンスター　一覧'!$B$4:$O$198,14,FALSE)*性格一覧!$G18*Lv50時の伸び率!Y18*0.01)*VLOOKUP($C$3,ギルド一覧!$B$4:$R$29,17,FALSE))</f>
        <v>24.181818181818187</v>
      </c>
      <c r="I27" s="205">
        <f t="shared" si="0"/>
        <v>824.83550773586194</v>
      </c>
      <c r="J27" s="56"/>
      <c r="K27" s="198" t="s">
        <v>32</v>
      </c>
      <c r="L27" s="193">
        <f>IF($L$4="通常",(VLOOKUP($K$7,'モンスター　一覧'!$B$4:$O$198,9,FALSE)*性格一覧!$B18*Lv50時の伸び率!$T18*0.01)*(VLOOKUP($C$3,ギルド一覧!$B$4:$R$29,6,FALSE)),(VLOOKUP($K$7,'モンスター　一覧'!$B$4:$O$198,9,FALSE)*性格一覧!$B18*Lv50時の伸び率!$T18*0.01)*(VLOOKUP($C$3,ギルド一覧!$B$4:$R$29,12,FALSE)))</f>
        <v>252.97297297297297</v>
      </c>
      <c r="M27" s="193">
        <f>IF($L$4="通常",(VLOOKUP($K$7,'モンスター　一覧'!$B$4:$O$198,10,FALSE)*性格一覧!$C18*Lv50時の伸び率!$U18*0.01)*(VLOOKUP($L$3,ギルド一覧!$B$4:$R$29,7,FALSE)),(VLOOKUP($K$7,'モンスター　一覧'!$B$4:$O$198,10,FALSE)*性格一覧!$C18*Lv50時の伸び率!$U18*0.01)*(VLOOKUP($L$3,ギルド一覧!$B$4:$R$29,13,FALSE)))</f>
        <v>87.09677419354837</v>
      </c>
      <c r="N27" s="193">
        <f>IF($L$4="通常",(VLOOKUP($K$7,'モンスター　一覧'!$B$4:$O$198,11,FALSE)*性格一覧!$D18*Lv50時の伸び率!$V18*0.01)*(VLOOKUP($L$3,ギルド一覧!$B$4:$R$29,8,FALSE)),(VLOOKUP($K$7,'モンスター　一覧'!$B$4:$O$198,11,FALSE)*性格一覧!$D18*Lv50時の伸び率!$V18*0.01)*(VLOOKUP($C$3,ギルド一覧!$B$4:$R$29,14,FALSE)))</f>
        <v>181.85365853658536</v>
      </c>
      <c r="O27" s="193">
        <f>IF($L$4="通常",(VLOOKUP($K$7,'モンスター　一覧'!$B$4:$O$198,12,FALSE)*性格一覧!$E18*Lv50時の伸び率!$W18*0.01)*(VLOOKUP($L$3,ギルド一覧!$B$4:$R$29,9,FALSE)),(VLOOKUP($K$7,'モンスター　一覧'!$B$4:$O$198,12,FALSE)*性格一覧!$E18*Lv50時の伸び率!$W18*0.01)*(VLOOKUP($L$3,ギルド一覧!$B$4:$R$29,15,FALSE)))</f>
        <v>203.40909090909093</v>
      </c>
      <c r="P27" s="193">
        <f>IF($L$4="通常",(VLOOKUP($K$7,'モンスター　一覧'!$B$4:$O$198,13,FALSE)*性格一覧!$F18*Lv50時の伸び率!$X18*0.01)*(VLOOKUP($L$3,ギルド一覧!$B$4:$R$29,10,FALSE)),(VLOOKUP($K$7,'モンスター　一覧'!$B$4:$O$198,13,FALSE)*性格一覧!$F18*Lv50時の伸び率!$X18*0.01)*(VLOOKUP($L$3,ギルド一覧!$B$4:$R$29,16,FALSE)))</f>
        <v>190.68571428571431</v>
      </c>
      <c r="Q27" s="194">
        <f>IF($L$4="通常",(VLOOKUP($K$7,'モンスター　一覧'!$B$4:$O$198,14,FALSE)*性格一覧!$G18*Lv50時の伸び率!$Y18*0.01)*(VLOOKUP($L$3,ギルド一覧!$B$4:$R$29,11,FALSE)),(VLOOKUP($K$7,'モンスター　一覧'!$B$4:$O$198,14,FALSE)*性格一覧!$G18*Lv50時の伸び率!$Y18*0.01)*VLOOKUP($L$3,ギルド一覧!$B$4:$R$29,17,FALSE))</f>
        <v>138.18181818181822</v>
      </c>
      <c r="R27" s="205">
        <f t="shared" si="1"/>
        <v>1054.2000290797303</v>
      </c>
      <c r="T27" s="64" t="s">
        <v>32</v>
      </c>
      <c r="U27" s="193">
        <f>IF($U$4="通常",(VLOOKUP($T$7,'モンスター　一覧'!$B$4:$O$198,9,FALSE)*性格一覧!$B18*Lv50時の伸び率!$T18*0.01)*(VLOOKUP($U$3,ギルド一覧!$B$4:$R$29,6,FALSE)),(VLOOKUP($T$7,'モンスター　一覧'!$B$4:$O$198,9,FALSE)*性格一覧!$B18*Lv50時の伸び率!$T18*0.01)*(VLOOKUP($U$3,ギルド一覧!$B$4:$R$29,12,FALSE)))</f>
        <v>404.75675675675672</v>
      </c>
      <c r="V27" s="193">
        <f>IF($T$4="通常",(VLOOKUP($T$7,'モンスター　一覧'!$B$4:$O$198,10,FALSE)*性格一覧!$C18*Lv50時の伸び率!$U18*0.01)*(VLOOKUP($U$3,ギルド一覧!$B$4:$R$29,7,FALSE)),(VLOOKUP($T$7,'モンスター　一覧'!$B$4:$O$198,10,FALSE)*性格一覧!$C18*Lv50時の伸び率!$U18*0.01)*(VLOOKUP($U$3,ギルド一覧!$B$4:$R$29,13,FALSE)))</f>
        <v>110.3225806451613</v>
      </c>
      <c r="W27" s="193">
        <f>IF($U$4="通常",(VLOOKUP($T$7,'モンスター　一覧'!$B$4:$O$198,11,FALSE)*性格一覧!$D18*Lv50時の伸び率!$V18*0.01)*(VLOOKUP($U$3,ギルド一覧!$B$4:$R$29,8,FALSE)),(VLOOKUP($T$7,'モンスター　一覧'!$B$4:$O$198,11,FALSE)*性格一覧!$D18*Lv50時の伸び率!$V18*0.01)*(VLOOKUP($C$3,ギルド一覧!$B$4:$R$29,14,FALSE)))</f>
        <v>161.01626016260161</v>
      </c>
      <c r="X27" s="193">
        <f>IF($U$4="通常",(VLOOKUP($T$7,'モンスター　一覧'!$B$4:$O$198,12,FALSE)*性格一覧!$E18*Lv50時の伸び率!$W18*0.01)*(VLOOKUP($U$3,ギルド一覧!$B$4:$R$29,9,FALSE)),(VLOOKUP($T$7,'モンスター　一覧'!$B$4:$O$198,12,FALSE)*性格一覧!$E18*Lv50時の伸び率!$W18*0.01)*(VLOOKUP($U$3,ギルド一覧!$B$4:$R$29,15,FALSE)))</f>
        <v>144.82727272727274</v>
      </c>
      <c r="Y27" s="193">
        <f>IF($U$4="通常",(VLOOKUP($T$7,'モンスター　一覧'!$B$4:$O$198,13,FALSE)*性格一覧!$F18*Lv50時の伸び率!$X18*0.01)*(VLOOKUP($U$3,ギルド一覧!$B$4:$R$29,10,FALSE)),(VLOOKUP($T$7,'モンスター　一覧'!$B$4:$O$198,13,FALSE)*性格一覧!$F18*Lv50時の伸び率!$X18*0.01)*(VLOOKUP($U$3,ギルド一覧!$B$4:$R$29,16,FALSE)))</f>
        <v>137.64285714285717</v>
      </c>
      <c r="Z27" s="194">
        <f>IF($U$4="通常",(VLOOKUP($T$7,'モンスター　一覧'!$B$4:$O$198,14,FALSE)*性格一覧!$G18*Lv50時の伸び率!$Y18*0.01)*(VLOOKUP($U$3,ギルド一覧!$B$4:$R$29,11,FALSE)),(VLOOKUP($T$7,'モンスター　一覧'!$B$4:$O$198,14,FALSE)*性格一覧!$G18*Lv50時の伸び率!$Y18*0.01)*VLOOKUP($U$3,ギルド一覧!$B$4:$R$29,17,FALSE))</f>
        <v>219.36363636363637</v>
      </c>
      <c r="AA27" s="205">
        <f t="shared" si="2"/>
        <v>1177.929363798286</v>
      </c>
      <c r="AC27" s="152" t="s">
        <v>101</v>
      </c>
      <c r="AD27" s="219" t="s">
        <v>877</v>
      </c>
    </row>
    <row r="28" spans="2:30" s="55" customFormat="1" ht="12">
      <c r="B28" s="64" t="s">
        <v>33</v>
      </c>
      <c r="C28" s="193">
        <f>IF($C$4="通常",(VLOOKUP($B$7,'モンスター　一覧'!$B$4:$O$198,9,FALSE)*性格一覧!$B19*Lv50時の伸び率!T19*0.01)*(VLOOKUP($C$3,ギルド一覧!$B$4:$R$29,6,FALSE)),(VLOOKUP($B$7,'モンスター　一覧'!$B$4:$O$198,9,FALSE)*性格一覧!$B19*Lv50時の伸び率!T19*0.01)*(VLOOKUP($C$3,ギルド一覧!$B$4:$R$29,12,FALSE)))</f>
        <v>232.70270270270271</v>
      </c>
      <c r="D28" s="193">
        <f>IF($C$4="通常",(VLOOKUP($B$7,'モンスター　一覧'!$B$4:$O$198,10,FALSE)*性格一覧!$C19*Lv50時の伸び率!U19*0.01)*(VLOOKUP($C$3,ギルド一覧!$B$4:$R$29,7,FALSE)),(VLOOKUP($B$7,'モンスター　一覧'!$B$4:$O$198,10,FALSE)*性格一覧!$C19*Lv50時の伸び率!U19*0.01)*(VLOOKUP($C$3,ギルド一覧!$B$4:$R$29,13,FALSE)))</f>
        <v>56.451612903225794</v>
      </c>
      <c r="E28" s="193">
        <f>IF($C$4="通常",(VLOOKUP($B$7,'モンスター　一覧'!$B$4:$O$198,11,FALSE)*性格一覧!$D19*Lv50時の伸び率!V19*0.01)*(VLOOKUP($C$3,ギルド一覧!$B$4:$R$29,8,FALSE)),(VLOOKUP($B$7,'モンスター　一覧'!$B$4:$O$198,11,FALSE)*性格一覧!$D19*Lv50時の伸び率!V19*0.01)*(VLOOKUP($C$3,ギルド一覧!$B$4:$R$29,14,FALSE)))</f>
        <v>220.61788617886182</v>
      </c>
      <c r="F28" s="193">
        <f>IF($C$4="通常",(VLOOKUP($B$7,'モンスター　一覧'!$B$4:$O$198,12,FALSE)*性格一覧!$E19*Lv50時の伸び率!W19*0.01)*(VLOOKUP($C$3,ギルド一覧!$B$4:$R$29,9,FALSE)),(VLOOKUP($B$7,'モンスター　一覧'!$B$4:$O$198,12,FALSE)*性格一覧!$E19*Lv50時の伸び率!W19*0.01)*(VLOOKUP($C$3,ギルド一覧!$B$4:$R$29,15,FALSE)))</f>
        <v>43.25454545454545</v>
      </c>
      <c r="G28" s="193">
        <f>IF($C$4="通常",(VLOOKUP($B$7,'モンスター　一覧'!$B$4:$O$198,13,FALSE)*性格一覧!$F19*Lv50時の伸び率!X19*0.01)*(VLOOKUP($C$3,ギルド一覧!$B$4:$R$29,10,FALSE)),(VLOOKUP($B$7,'モンスター　一覧'!$B$4:$O$198,13,FALSE)*性格一覧!$F19*Lv50時の伸び率!X19*0.01)*(VLOOKUP($C$3,ギルド一覧!$B$4:$R$29,16,FALSE)))</f>
        <v>102.91071428571429</v>
      </c>
      <c r="H28" s="201">
        <f>IF($C$4="通常",(VLOOKUP($B$7,'モンスター　一覧'!$B$4:$O$198,14,FALSE)*性格一覧!$G19*Lv50時の伸び率!Y19*0.01)*(VLOOKUP($C$3,ギルド一覧!$B$4:$R$29,11,FALSE)),(VLOOKUP($B$7,'モンスター　一覧'!$B$4:$O$198,14,FALSE)*性格一覧!$G19*Lv50時の伸び率!Y19*0.01)*VLOOKUP($C$3,ギルド一覧!$B$4:$R$29,17,FALSE))</f>
        <v>33.939393939393938</v>
      </c>
      <c r="I28" s="205">
        <f t="shared" si="0"/>
        <v>689.87685546444413</v>
      </c>
      <c r="J28" s="56"/>
      <c r="K28" s="198" t="s">
        <v>33</v>
      </c>
      <c r="L28" s="193">
        <f>IF($L$4="通常",(VLOOKUP($K$7,'モンスター　一覧'!$B$4:$O$198,9,FALSE)*性格一覧!$B19*Lv50時の伸び率!$T19*0.01)*(VLOOKUP($C$3,ギルド一覧!$B$4:$R$29,6,FALSE)),(VLOOKUP($K$7,'モンスター　一覧'!$B$4:$O$198,9,FALSE)*性格一覧!$B19*Lv50時の伸び率!$T19*0.01)*(VLOOKUP($C$3,ギルド一覧!$B$4:$R$29,12,FALSE)))</f>
        <v>155.13513513513513</v>
      </c>
      <c r="M28" s="193">
        <f>IF($L$4="通常",(VLOOKUP($K$7,'モンスター　一覧'!$B$4:$O$198,10,FALSE)*性格一覧!$C19*Lv50時の伸び率!$U19*0.01)*(VLOOKUP($L$3,ギルド一覧!$B$4:$R$29,7,FALSE)),(VLOOKUP($K$7,'モンスター　一覧'!$B$4:$O$198,10,FALSE)*性格一覧!$C19*Lv50時の伸び率!$U19*0.01)*(VLOOKUP($L$3,ギルド一覧!$B$4:$R$29,13,FALSE)))</f>
        <v>96.774193548387089</v>
      </c>
      <c r="N28" s="193">
        <f>IF($L$4="通常",(VLOOKUP($K$7,'モンスター　一覧'!$B$4:$O$198,11,FALSE)*性格一覧!$D19*Lv50時の伸び率!$V19*0.01)*(VLOOKUP($L$3,ギルド一覧!$B$4:$R$29,8,FALSE)),(VLOOKUP($K$7,'モンスター　一覧'!$B$4:$O$198,11,FALSE)*性格一覧!$D19*Lv50時の伸び率!$V19*0.01)*(VLOOKUP($C$3,ギルド一覧!$B$4:$R$29,14,FALSE)))</f>
        <v>165.46341463414635</v>
      </c>
      <c r="O28" s="193">
        <f>IF($L$4="通常",(VLOOKUP($K$7,'モンスター　一覧'!$B$4:$O$198,12,FALSE)*性格一覧!$E19*Lv50時の伸び率!$W19*0.01)*(VLOOKUP($L$3,ギルド一覧!$B$4:$R$29,9,FALSE)),(VLOOKUP($K$7,'モンスター　一覧'!$B$4:$O$198,12,FALSE)*性格一覧!$E19*Lv50時の伸び率!$W19*0.01)*(VLOOKUP($L$3,ギルド一覧!$B$4:$R$29,15,FALSE)))</f>
        <v>207.95454545454544</v>
      </c>
      <c r="P28" s="193">
        <f>IF($L$4="通常",(VLOOKUP($K$7,'モンスター　一覧'!$B$4:$O$198,13,FALSE)*性格一覧!$F19*Lv50時の伸び率!$X19*0.01)*(VLOOKUP($L$3,ギルド一覧!$B$4:$R$29,10,FALSE)),(VLOOKUP($K$7,'モンスター　一覧'!$B$4:$O$198,13,FALSE)*性格一覧!$F19*Lv50時の伸び率!$X19*0.01)*(VLOOKUP($L$3,ギルド一覧!$B$4:$R$29,16,FALSE)))</f>
        <v>229.22857142857143</v>
      </c>
      <c r="Q28" s="194">
        <f>IF($L$4="通常",(VLOOKUP($K$7,'モンスター　一覧'!$B$4:$O$198,14,FALSE)*性格一覧!$G19*Lv50時の伸び率!$Y19*0.01)*(VLOOKUP($L$3,ギルド一覧!$B$4:$R$29,11,FALSE)),(VLOOKUP($K$7,'モンスター　一覧'!$B$4:$O$198,14,FALSE)*性格一覧!$G19*Lv50時の伸び率!$Y19*0.01)*VLOOKUP($L$3,ギルド一覧!$B$4:$R$29,17,FALSE))</f>
        <v>193.93939393939394</v>
      </c>
      <c r="R28" s="205">
        <f t="shared" si="1"/>
        <v>1048.4952541401792</v>
      </c>
      <c r="T28" s="64" t="s">
        <v>33</v>
      </c>
      <c r="U28" s="193">
        <f>IF($U$4="通常",(VLOOKUP($T$7,'モンスター　一覧'!$B$4:$O$198,9,FALSE)*性格一覧!$B19*Lv50時の伸び率!$T19*0.01)*(VLOOKUP($U$3,ギルド一覧!$B$4:$R$29,6,FALSE)),(VLOOKUP($T$7,'モンスター　一覧'!$B$4:$O$198,9,FALSE)*性格一覧!$B19*Lv50時の伸び率!$T19*0.01)*(VLOOKUP($U$3,ギルド一覧!$B$4:$R$29,12,FALSE)))</f>
        <v>248.2162162162162</v>
      </c>
      <c r="V28" s="193">
        <f>IF($T$4="通常",(VLOOKUP($T$7,'モンスター　一覧'!$B$4:$O$198,10,FALSE)*性格一覧!$C19*Lv50時の伸び率!$U19*0.01)*(VLOOKUP($U$3,ギルド一覧!$B$4:$R$29,7,FALSE)),(VLOOKUP($T$7,'モンスター　一覧'!$B$4:$O$198,10,FALSE)*性格一覧!$C19*Lv50時の伸び率!$U19*0.01)*(VLOOKUP($U$3,ギルド一覧!$B$4:$R$29,13,FALSE)))</f>
        <v>122.58064516129031</v>
      </c>
      <c r="W28" s="193">
        <f>IF($U$4="通常",(VLOOKUP($T$7,'モンスター　一覧'!$B$4:$O$198,11,FALSE)*性格一覧!$D19*Lv50時の伸び率!$V19*0.01)*(VLOOKUP($U$3,ギルド一覧!$B$4:$R$29,8,FALSE)),(VLOOKUP($T$7,'モンスター　一覧'!$B$4:$O$198,11,FALSE)*性格一覧!$D19*Lv50時の伸び率!$V19*0.01)*(VLOOKUP($C$3,ギルド一覧!$B$4:$R$29,14,FALSE)))</f>
        <v>146.5040650406504</v>
      </c>
      <c r="X28" s="193">
        <f>IF($U$4="通常",(VLOOKUP($T$7,'モンスター　一覧'!$B$4:$O$198,12,FALSE)*性格一覧!$E19*Lv50時の伸び率!$W19*0.01)*(VLOOKUP($U$3,ギルド一覧!$B$4:$R$29,9,FALSE)),(VLOOKUP($T$7,'モンスター　一覧'!$B$4:$O$198,12,FALSE)*性格一覧!$E19*Lv50時の伸び率!$W19*0.01)*(VLOOKUP($U$3,ギルド一覧!$B$4:$R$29,15,FALSE)))</f>
        <v>148.06363636363633</v>
      </c>
      <c r="Y28" s="193">
        <f>IF($U$4="通常",(VLOOKUP($T$7,'モンスター　一覧'!$B$4:$O$198,13,FALSE)*性格一覧!$F19*Lv50時の伸び率!$X19*0.01)*(VLOOKUP($U$3,ギルド一覧!$B$4:$R$29,10,FALSE)),(VLOOKUP($T$7,'モンスター　一覧'!$B$4:$O$198,13,FALSE)*性格一覧!$F19*Lv50時の伸び率!$X19*0.01)*(VLOOKUP($U$3,ギルド一覧!$B$4:$R$29,16,FALSE)))</f>
        <v>165.46428571428572</v>
      </c>
      <c r="Z28" s="194">
        <f>IF($U$4="通常",(VLOOKUP($T$7,'モンスター　一覧'!$B$4:$O$198,14,FALSE)*性格一覧!$G19*Lv50時の伸び率!$Y19*0.01)*(VLOOKUP($U$3,ギルド一覧!$B$4:$R$29,11,FALSE)),(VLOOKUP($T$7,'モンスター　一覧'!$B$4:$O$198,14,FALSE)*性格一覧!$G19*Lv50時の伸び率!$Y19*0.01)*VLOOKUP($U$3,ギルド一覧!$B$4:$R$29,17,FALSE))</f>
        <v>307.87878787878788</v>
      </c>
      <c r="AA28" s="205">
        <f t="shared" si="2"/>
        <v>1138.707636374867</v>
      </c>
      <c r="AC28" s="152" t="s">
        <v>174</v>
      </c>
      <c r="AD28" s="219" t="s">
        <v>878</v>
      </c>
    </row>
    <row r="29" spans="2:30" s="55" customFormat="1">
      <c r="B29" s="64" t="s">
        <v>34</v>
      </c>
      <c r="C29" s="193">
        <f>IF($C$4="通常",(VLOOKUP($B$7,'モンスター　一覧'!$B$4:$O$198,9,FALSE)*性格一覧!$B20*Lv50時の伸び率!T20*0.01)*(VLOOKUP($C$3,ギルド一覧!$B$4:$R$29,6,FALSE)),(VLOOKUP($B$7,'モンスター　一覧'!$B$4:$O$198,9,FALSE)*性格一覧!$B20*Lv50時の伸び率!T20*0.01)*(VLOOKUP($C$3,ギルド一覧!$B$4:$R$29,12,FALSE)))</f>
        <v>352.70270270270277</v>
      </c>
      <c r="D29" s="193">
        <f>IF($C$4="通常",(VLOOKUP($B$7,'モンスター　一覧'!$B$4:$O$198,10,FALSE)*性格一覧!$C20*Lv50時の伸び率!U20*0.01)*(VLOOKUP($C$3,ギルド一覧!$B$4:$R$29,7,FALSE)),(VLOOKUP($B$7,'モンスター　一覧'!$B$4:$O$198,10,FALSE)*性格一覧!$C20*Lv50時の伸び率!U20*0.01)*(VLOOKUP($C$3,ギルド一覧!$B$4:$R$29,13,FALSE)))</f>
        <v>46.29032258064516</v>
      </c>
      <c r="E29" s="193">
        <f>IF($C$4="通常",(VLOOKUP($B$7,'モンスター　一覧'!$B$4:$O$198,11,FALSE)*性格一覧!$D20*Lv50時の伸び率!V20*0.01)*(VLOOKUP($C$3,ギルド一覧!$B$4:$R$29,8,FALSE)),(VLOOKUP($B$7,'モンスター　一覧'!$B$4:$O$198,11,FALSE)*性格一覧!$D20*Lv50時の伸び率!V20*0.01)*(VLOOKUP($C$3,ギルド一覧!$B$4:$R$29,14,FALSE)))</f>
        <v>251.83739837398372</v>
      </c>
      <c r="F29" s="193">
        <f>IF($C$4="通常",(VLOOKUP($B$7,'モンスター　一覧'!$B$4:$O$198,12,FALSE)*性格一覧!$E20*Lv50時の伸び率!W20*0.01)*(VLOOKUP($C$3,ギルド一覧!$B$4:$R$29,9,FALSE)),(VLOOKUP($B$7,'モンスター　一覧'!$B$4:$O$198,12,FALSE)*性格一覧!$E20*Lv50時の伸び率!W20*0.01)*(VLOOKUP($C$3,ギルド一覧!$B$4:$R$29,15,FALSE)))</f>
        <v>55.781818181818174</v>
      </c>
      <c r="G29" s="193">
        <f>IF($C$4="通常",(VLOOKUP($B$7,'モンスター　一覧'!$B$4:$O$198,13,FALSE)*性格一覧!$F20*Lv50時の伸び率!X20*0.01)*(VLOOKUP($C$3,ギルド一覧!$B$4:$R$29,10,FALSE)),(VLOOKUP($B$7,'モンスター　一覧'!$B$4:$O$198,13,FALSE)*性格一覧!$F20*Lv50時の伸び率!X20*0.01)*(VLOOKUP($C$3,ギルド一覧!$B$4:$R$29,16,FALSE)))</f>
        <v>77.410714285714292</v>
      </c>
      <c r="H29" s="201">
        <f>IF($C$4="通常",(VLOOKUP($B$7,'モンスター　一覧'!$B$4:$O$198,14,FALSE)*性格一覧!$G20*Lv50時の伸び率!Y20*0.01)*(VLOOKUP($C$3,ギルド一覧!$B$4:$R$29,11,FALSE)),(VLOOKUP($B$7,'モンスター　一覧'!$B$4:$O$198,14,FALSE)*性格一覧!$G20*Lv50時の伸び率!Y20*0.01)*VLOOKUP($C$3,ギルド一覧!$B$4:$R$29,17,FALSE))</f>
        <v>22.060606060606059</v>
      </c>
      <c r="I29" s="205">
        <f t="shared" si="0"/>
        <v>806.08356218547021</v>
      </c>
      <c r="J29" s="56"/>
      <c r="K29" s="198" t="s">
        <v>34</v>
      </c>
      <c r="L29" s="193">
        <f>IF($L$4="通常",(VLOOKUP($K$7,'モンスター　一覧'!$B$4:$O$198,9,FALSE)*性格一覧!$B20*Lv50時の伸び率!$T20*0.01)*(VLOOKUP($C$3,ギルド一覧!$B$4:$R$29,6,FALSE)),(VLOOKUP($K$7,'モンスター　一覧'!$B$4:$O$198,9,FALSE)*性格一覧!$B20*Lv50時の伸び率!$T20*0.01)*(VLOOKUP($C$3,ギルド一覧!$B$4:$R$29,12,FALSE)))</f>
        <v>235.13513513513513</v>
      </c>
      <c r="M29" s="193">
        <f>IF($L$4="通常",(VLOOKUP($K$7,'モンスター　一覧'!$B$4:$O$198,10,FALSE)*性格一覧!$C20*Lv50時の伸び率!$U20*0.01)*(VLOOKUP($L$3,ギルド一覧!$B$4:$R$29,7,FALSE)),(VLOOKUP($K$7,'モンスター　一覧'!$B$4:$O$198,10,FALSE)*性格一覧!$C20*Lv50時の伸び率!$U20*0.01)*(VLOOKUP($L$3,ギルド一覧!$B$4:$R$29,13,FALSE)))</f>
        <v>79.354838709677423</v>
      </c>
      <c r="N29" s="193">
        <f>IF($L$4="通常",(VLOOKUP($K$7,'モンスター　一覧'!$B$4:$O$198,11,FALSE)*性格一覧!$D20*Lv50時の伸び率!$V20*0.01)*(VLOOKUP($L$3,ギルド一覧!$B$4:$R$29,8,FALSE)),(VLOOKUP($K$7,'モンスター　一覧'!$B$4:$O$198,11,FALSE)*性格一覧!$D20*Lv50時の伸び率!$V20*0.01)*(VLOOKUP($C$3,ギルド一覧!$B$4:$R$29,14,FALSE)))</f>
        <v>188.8780487804878</v>
      </c>
      <c r="O29" s="193">
        <f>IF($L$4="通常",(VLOOKUP($K$7,'モンスター　一覧'!$B$4:$O$198,12,FALSE)*性格一覧!$E20*Lv50時の伸び率!$W20*0.01)*(VLOOKUP($L$3,ギルド一覧!$B$4:$R$29,9,FALSE)),(VLOOKUP($K$7,'モンスター　一覧'!$B$4:$O$198,12,FALSE)*性格一覧!$E20*Lv50時の伸び率!$W20*0.01)*(VLOOKUP($L$3,ギルド一覧!$B$4:$R$29,15,FALSE)))</f>
        <v>268.18181818181813</v>
      </c>
      <c r="P29" s="193">
        <f>IF($L$4="通常",(VLOOKUP($K$7,'モンスター　一覧'!$B$4:$O$198,13,FALSE)*性格一覧!$F20*Lv50時の伸び率!$X20*0.01)*(VLOOKUP($L$3,ギルド一覧!$B$4:$R$29,10,FALSE)),(VLOOKUP($K$7,'モンスター　一覧'!$B$4:$O$198,13,FALSE)*性格一覧!$F20*Lv50時の伸び率!$X20*0.01)*(VLOOKUP($L$3,ギルド一覧!$B$4:$R$29,16,FALSE)))</f>
        <v>172.42857142857144</v>
      </c>
      <c r="Q29" s="194">
        <f>IF($L$4="通常",(VLOOKUP($K$7,'モンスター　一覧'!$B$4:$O$198,14,FALSE)*性格一覧!$G20*Lv50時の伸び率!$Y20*0.01)*(VLOOKUP($L$3,ギルド一覧!$B$4:$R$29,11,FALSE)),(VLOOKUP($K$7,'モンスター　一覧'!$B$4:$O$198,14,FALSE)*性格一覧!$G20*Lv50時の伸び率!$Y20*0.01)*VLOOKUP($L$3,ギルド一覧!$B$4:$R$29,17,FALSE))</f>
        <v>126.06060606060605</v>
      </c>
      <c r="R29" s="205">
        <f t="shared" si="1"/>
        <v>1070.039018296296</v>
      </c>
      <c r="T29" s="64" t="s">
        <v>34</v>
      </c>
      <c r="U29" s="193">
        <f>IF($U$4="通常",(VLOOKUP($T$7,'モンスター　一覧'!$B$4:$O$198,9,FALSE)*性格一覧!$B20*Lv50時の伸び率!$T20*0.01)*(VLOOKUP($U$3,ギルド一覧!$B$4:$R$29,6,FALSE)),(VLOOKUP($T$7,'モンスター　一覧'!$B$4:$O$198,9,FALSE)*性格一覧!$B20*Lv50時の伸び率!$T20*0.01)*(VLOOKUP($U$3,ギルド一覧!$B$4:$R$29,12,FALSE)))</f>
        <v>376.2162162162162</v>
      </c>
      <c r="V29" s="193">
        <f>IF($T$4="通常",(VLOOKUP($T$7,'モンスター　一覧'!$B$4:$O$198,10,FALSE)*性格一覧!$C20*Lv50時の伸び率!$U20*0.01)*(VLOOKUP($U$3,ギルド一覧!$B$4:$R$29,7,FALSE)),(VLOOKUP($T$7,'モンスター　一覧'!$B$4:$O$198,10,FALSE)*性格一覧!$C20*Lv50時の伸び率!$U20*0.01)*(VLOOKUP($U$3,ギルド一覧!$B$4:$R$29,13,FALSE)))</f>
        <v>100.51612903225806</v>
      </c>
      <c r="W29" s="193">
        <f>IF($U$4="通常",(VLOOKUP($T$7,'モンスター　一覧'!$B$4:$O$198,11,FALSE)*性格一覧!$D20*Lv50時の伸び率!$V20*0.01)*(VLOOKUP($U$3,ギルド一覧!$B$4:$R$29,8,FALSE)),(VLOOKUP($T$7,'モンスター　一覧'!$B$4:$O$198,11,FALSE)*性格一覧!$D20*Lv50時の伸び率!$V20*0.01)*(VLOOKUP($C$3,ギルド一覧!$B$4:$R$29,14,FALSE)))</f>
        <v>167.23577235772359</v>
      </c>
      <c r="X29" s="193">
        <f>IF($U$4="通常",(VLOOKUP($T$7,'モンスター　一覧'!$B$4:$O$198,12,FALSE)*性格一覧!$E20*Lv50時の伸び率!$W20*0.01)*(VLOOKUP($U$3,ギルド一覧!$B$4:$R$29,9,FALSE)),(VLOOKUP($T$7,'モンスター　一覧'!$B$4:$O$198,12,FALSE)*性格一覧!$E20*Lv50時の伸び率!$W20*0.01)*(VLOOKUP($U$3,ギルド一覧!$B$4:$R$29,15,FALSE)))</f>
        <v>190.94545454545454</v>
      </c>
      <c r="Y29" s="193">
        <f>IF($U$4="通常",(VLOOKUP($T$7,'モンスター　一覧'!$B$4:$O$198,13,FALSE)*性格一覧!$F20*Lv50時の伸び率!$X20*0.01)*(VLOOKUP($U$3,ギルド一覧!$B$4:$R$29,10,FALSE)),(VLOOKUP($T$7,'モンスター　一覧'!$B$4:$O$198,13,FALSE)*性格一覧!$F20*Lv50時の伸び率!$X20*0.01)*(VLOOKUP($U$3,ギルド一覧!$B$4:$R$29,16,FALSE)))</f>
        <v>124.46428571428572</v>
      </c>
      <c r="Z29" s="194">
        <f>IF($U$4="通常",(VLOOKUP($T$7,'モンスター　一覧'!$B$4:$O$198,14,FALSE)*性格一覧!$G20*Lv50時の伸び率!$Y20*0.01)*(VLOOKUP($U$3,ギルド一覧!$B$4:$R$29,11,FALSE)),(VLOOKUP($T$7,'モンスター　一覧'!$B$4:$O$198,14,FALSE)*性格一覧!$G20*Lv50時の伸び率!$Y20*0.01)*VLOOKUP($U$3,ギルド一覧!$B$4:$R$29,17,FALSE))</f>
        <v>200.1212121212121</v>
      </c>
      <c r="AA29" s="205">
        <f t="shared" si="2"/>
        <v>1159.4990699871503</v>
      </c>
      <c r="AC29" s="152" t="s">
        <v>126</v>
      </c>
      <c r="AD29" s="235" t="s">
        <v>879</v>
      </c>
    </row>
    <row r="30" spans="2:30" s="55" customFormat="1" ht="12">
      <c r="B30" s="64" t="s">
        <v>35</v>
      </c>
      <c r="C30" s="193">
        <f>IF($C$4="通常",(VLOOKUP($B$7,'モンスター　一覧'!$B$4:$O$198,9,FALSE)*性格一覧!$B21*Lv50時の伸び率!T21*0.01)*(VLOOKUP($C$3,ギルド一覧!$B$4:$R$29,6,FALSE)),(VLOOKUP($B$7,'モンスター　一覧'!$B$4:$O$198,9,FALSE)*性格一覧!$B21*Lv50時の伸び率!T21*0.01)*(VLOOKUP($C$3,ギルド一覧!$B$4:$R$29,12,FALSE)))</f>
        <v>304.8648648648649</v>
      </c>
      <c r="D30" s="193">
        <f>IF($C$4="通常",(VLOOKUP($B$7,'モンスター　一覧'!$B$4:$O$198,10,FALSE)*性格一覧!$C21*Lv50時の伸び率!U21*0.01)*(VLOOKUP($C$3,ギルド一覧!$B$4:$R$29,7,FALSE)),(VLOOKUP($B$7,'モンスター　一覧'!$B$4:$O$198,10,FALSE)*性格一覧!$C21*Lv50時の伸び率!U21*0.01)*(VLOOKUP($C$3,ギルド一覧!$B$4:$R$29,13,FALSE)))</f>
        <v>49.677419354838705</v>
      </c>
      <c r="E30" s="193">
        <f>IF($C$4="通常",(VLOOKUP($B$7,'モンスター　一覧'!$B$4:$O$198,11,FALSE)*性格一覧!$D21*Lv50時の伸び率!V21*0.01)*(VLOOKUP($C$3,ギルド一覧!$B$4:$R$29,8,FALSE)),(VLOOKUP($B$7,'モンスター　一覧'!$B$4:$O$198,11,FALSE)*性格一覧!$D21*Lv50時の伸び率!V21*0.01)*(VLOOKUP($C$3,ギルド一覧!$B$4:$R$29,14,FALSE)))</f>
        <v>324.68292682926824</v>
      </c>
      <c r="F30" s="193">
        <f>IF($C$4="通常",(VLOOKUP($B$7,'モンスター　一覧'!$B$4:$O$198,12,FALSE)*性格一覧!$E21*Lv50時の伸び率!W21*0.01)*(VLOOKUP($C$3,ギルド一覧!$B$4:$R$29,9,FALSE)),(VLOOKUP($B$7,'モンスター　一覧'!$B$4:$O$198,12,FALSE)*性格一覧!$E21*Lv50時の伸び率!W21*0.01)*(VLOOKUP($C$3,ギルド一覧!$B$4:$R$29,15,FALSE)))</f>
        <v>51.290909090909089</v>
      </c>
      <c r="G30" s="193">
        <f>IF($C$4="通常",(VLOOKUP($B$7,'モンスター　一覧'!$B$4:$O$198,13,FALSE)*性格一覧!$F21*Lv50時の伸び率!X21*0.01)*(VLOOKUP($C$3,ギルド一覧!$B$4:$R$29,10,FALSE)),(VLOOKUP($B$7,'モンスター　一覧'!$B$4:$O$198,13,FALSE)*性格一覧!$F21*Lv50時の伸び率!X21*0.01)*(VLOOKUP($C$3,ギルド一覧!$B$4:$R$29,16,FALSE)))</f>
        <v>75.589285714285722</v>
      </c>
      <c r="H30" s="201">
        <f>IF($C$4="通常",(VLOOKUP($B$7,'モンスター　一覧'!$B$4:$O$198,14,FALSE)*性格一覧!$G21*Lv50時の伸び率!Y21*0.01)*(VLOOKUP($C$3,ギルド一覧!$B$4:$R$29,11,FALSE)),(VLOOKUP($B$7,'モンスター　一覧'!$B$4:$O$198,14,FALSE)*性格一覧!$G21*Lv50時の伸び率!Y21*0.01)*VLOOKUP($C$3,ギルド一覧!$B$4:$R$29,17,FALSE))</f>
        <v>21.636363636363637</v>
      </c>
      <c r="I30" s="205">
        <f t="shared" si="0"/>
        <v>827.74176949053037</v>
      </c>
      <c r="J30" s="56"/>
      <c r="K30" s="198" t="s">
        <v>35</v>
      </c>
      <c r="L30" s="193">
        <f>IF($L$4="通常",(VLOOKUP($K$7,'モンスター　一覧'!$B$4:$O$198,9,FALSE)*性格一覧!$B21*Lv50時の伸び率!$T21*0.01)*(VLOOKUP($C$3,ギルド一覧!$B$4:$R$29,6,FALSE)),(VLOOKUP($K$7,'モンスター　一覧'!$B$4:$O$198,9,FALSE)*性格一覧!$B21*Lv50時の伸び率!$T21*0.01)*(VLOOKUP($C$3,ギルド一覧!$B$4:$R$29,12,FALSE)))</f>
        <v>203.24324324324323</v>
      </c>
      <c r="M30" s="193">
        <f>IF($L$4="通常",(VLOOKUP($K$7,'モンスター　一覧'!$B$4:$O$198,10,FALSE)*性格一覧!$C21*Lv50時の伸び率!$U21*0.01)*(VLOOKUP($L$3,ギルド一覧!$B$4:$R$29,7,FALSE)),(VLOOKUP($K$7,'モンスター　一覧'!$B$4:$O$198,10,FALSE)*性格一覧!$C21*Lv50時の伸び率!$U21*0.01)*(VLOOKUP($L$3,ギルド一覧!$B$4:$R$29,13,FALSE)))</f>
        <v>85.161290322580641</v>
      </c>
      <c r="N30" s="193">
        <f>IF($L$4="通常",(VLOOKUP($K$7,'モンスター　一覧'!$B$4:$O$198,11,FALSE)*性格一覧!$D21*Lv50時の伸び率!$V21*0.01)*(VLOOKUP($L$3,ギルド一覧!$B$4:$R$29,8,FALSE)),(VLOOKUP($K$7,'モンスター　一覧'!$B$4:$O$198,11,FALSE)*性格一覧!$D21*Lv50時の伸び率!$V21*0.01)*(VLOOKUP($C$3,ギルド一覧!$B$4:$R$29,14,FALSE)))</f>
        <v>243.51219512195121</v>
      </c>
      <c r="O30" s="193">
        <f>IF($L$4="通常",(VLOOKUP($K$7,'モンスター　一覧'!$B$4:$O$198,12,FALSE)*性格一覧!$E21*Lv50時の伸び率!$W21*0.01)*(VLOOKUP($L$3,ギルド一覧!$B$4:$R$29,9,FALSE)),(VLOOKUP($K$7,'モンスター　一覧'!$B$4:$O$198,12,FALSE)*性格一覧!$E21*Lv50時の伸び率!$W21*0.01)*(VLOOKUP($L$3,ギルド一覧!$B$4:$R$29,15,FALSE)))</f>
        <v>246.59090909090909</v>
      </c>
      <c r="P30" s="193">
        <f>IF($L$4="通常",(VLOOKUP($K$7,'モンスター　一覧'!$B$4:$O$198,13,FALSE)*性格一覧!$F21*Lv50時の伸び率!$X21*0.01)*(VLOOKUP($L$3,ギルド一覧!$B$4:$R$29,10,FALSE)),(VLOOKUP($K$7,'モンスター　一覧'!$B$4:$O$198,13,FALSE)*性格一覧!$F21*Lv50時の伸び率!$X21*0.01)*(VLOOKUP($L$3,ギルド一覧!$B$4:$R$29,16,FALSE)))</f>
        <v>168.37142857142859</v>
      </c>
      <c r="Q30" s="194">
        <f>IF($L$4="通常",(VLOOKUP($K$7,'モンスター　一覧'!$B$4:$O$198,14,FALSE)*性格一覧!$G21*Lv50時の伸び率!$Y21*0.01)*(VLOOKUP($L$3,ギルド一覧!$B$4:$R$29,11,FALSE)),(VLOOKUP($K$7,'モンスター　一覧'!$B$4:$O$198,14,FALSE)*性格一覧!$G21*Lv50時の伸び率!$Y21*0.01)*VLOOKUP($L$3,ギルド一覧!$B$4:$R$29,17,FALSE))</f>
        <v>123.63636363636363</v>
      </c>
      <c r="R30" s="205">
        <f t="shared" si="1"/>
        <v>1070.5154299864764</v>
      </c>
      <c r="T30" s="64" t="s">
        <v>35</v>
      </c>
      <c r="U30" s="193">
        <f>IF($U$4="通常",(VLOOKUP($T$7,'モンスター　一覧'!$B$4:$O$198,9,FALSE)*性格一覧!$B21*Lv50時の伸び率!$T21*0.01)*(VLOOKUP($U$3,ギルド一覧!$B$4:$R$29,6,FALSE)),(VLOOKUP($T$7,'モンスター　一覧'!$B$4:$O$198,9,FALSE)*性格一覧!$B21*Lv50時の伸び率!$T21*0.01)*(VLOOKUP($U$3,ギルド一覧!$B$4:$R$29,12,FALSE)))</f>
        <v>325.18918918918922</v>
      </c>
      <c r="V30" s="193">
        <f>IF($T$4="通常",(VLOOKUP($T$7,'モンスター　一覧'!$B$4:$O$198,10,FALSE)*性格一覧!$C21*Lv50時の伸び率!$U21*0.01)*(VLOOKUP($U$3,ギルド一覧!$B$4:$R$29,7,FALSE)),(VLOOKUP($T$7,'モンスター　一覧'!$B$4:$O$198,10,FALSE)*性格一覧!$C21*Lv50時の伸び率!$U21*0.01)*(VLOOKUP($U$3,ギルド一覧!$B$4:$R$29,13,FALSE)))</f>
        <v>107.87096774193547</v>
      </c>
      <c r="W30" s="193">
        <f>IF($U$4="通常",(VLOOKUP($T$7,'モンスター　一覧'!$B$4:$O$198,11,FALSE)*性格一覧!$D21*Lv50時の伸び率!$V21*0.01)*(VLOOKUP($U$3,ギルド一覧!$B$4:$R$29,8,FALSE)),(VLOOKUP($T$7,'モンスター　一覧'!$B$4:$O$198,11,FALSE)*性格一覧!$D21*Lv50時の伸び率!$V21*0.01)*(VLOOKUP($C$3,ギルド一覧!$B$4:$R$29,14,FALSE)))</f>
        <v>215.60975609756096</v>
      </c>
      <c r="X30" s="193">
        <f>IF($U$4="通常",(VLOOKUP($T$7,'モンスター　一覧'!$B$4:$O$198,12,FALSE)*性格一覧!$E21*Lv50時の伸び率!$W21*0.01)*(VLOOKUP($U$3,ギルド一覧!$B$4:$R$29,9,FALSE)),(VLOOKUP($T$7,'モンスター　一覧'!$B$4:$O$198,12,FALSE)*性格一覧!$E21*Lv50時の伸び率!$W21*0.01)*(VLOOKUP($U$3,ギルド一覧!$B$4:$R$29,15,FALSE)))</f>
        <v>175.57272727272729</v>
      </c>
      <c r="Y30" s="193">
        <f>IF($U$4="通常",(VLOOKUP($T$7,'モンスター　一覧'!$B$4:$O$198,13,FALSE)*性格一覧!$F21*Lv50時の伸び率!$X21*0.01)*(VLOOKUP($U$3,ギルド一覧!$B$4:$R$29,10,FALSE)),(VLOOKUP($T$7,'モンスター　一覧'!$B$4:$O$198,13,FALSE)*性格一覧!$F21*Lv50時の伸び率!$X21*0.01)*(VLOOKUP($U$3,ギルド一覧!$B$4:$R$29,16,FALSE)))</f>
        <v>121.53571428571429</v>
      </c>
      <c r="Z30" s="194">
        <f>IF($U$4="通常",(VLOOKUP($T$7,'モンスター　一覧'!$B$4:$O$198,14,FALSE)*性格一覧!$G21*Lv50時の伸び率!$Y21*0.01)*(VLOOKUP($U$3,ギルド一覧!$B$4:$R$29,11,FALSE)),(VLOOKUP($T$7,'モンスター　一覧'!$B$4:$O$198,14,FALSE)*性格一覧!$G21*Lv50時の伸び率!$Y21*0.01)*VLOOKUP($U$3,ギルド一覧!$B$4:$R$29,17,FALSE))</f>
        <v>196.27272727272728</v>
      </c>
      <c r="AA30" s="205">
        <f t="shared" si="2"/>
        <v>1142.0510818598545</v>
      </c>
      <c r="AC30" s="152" t="s">
        <v>236</v>
      </c>
      <c r="AD30" s="219" t="s">
        <v>889</v>
      </c>
    </row>
    <row r="31" spans="2:30" s="55" customFormat="1">
      <c r="B31" s="64" t="s">
        <v>36</v>
      </c>
      <c r="C31" s="193">
        <f>IF($C$4="通常",(VLOOKUP($B$7,'モンスター　一覧'!$B$4:$O$198,9,FALSE)*性格一覧!$B22*Lv50時の伸び率!T22*0.01)*(VLOOKUP($C$3,ギルド一覧!$B$4:$R$29,6,FALSE)),(VLOOKUP($B$7,'モンスター　一覧'!$B$4:$O$198,9,FALSE)*性格一覧!$B22*Lv50時の伸び率!T22*0.01)*(VLOOKUP($C$3,ギルド一覧!$B$4:$R$29,12,FALSE)))</f>
        <v>283.54838709677426</v>
      </c>
      <c r="D31" s="193">
        <f>IF($C$4="通常",(VLOOKUP($B$7,'モンスター　一覧'!$B$4:$O$198,10,FALSE)*性格一覧!$C22*Lv50時の伸び率!U22*0.01)*(VLOOKUP($C$3,ギルド一覧!$B$4:$R$29,7,FALSE)),(VLOOKUP($B$7,'モンスター　一覧'!$B$4:$O$198,10,FALSE)*性格一覧!$C22*Lv50時の伸び率!U22*0.01)*(VLOOKUP($C$3,ギルド一覧!$B$4:$R$29,13,FALSE)))</f>
        <v>72.1875</v>
      </c>
      <c r="E31" s="193">
        <f>IF($C$4="通常",(VLOOKUP($B$7,'モンスター　一覧'!$B$4:$O$198,11,FALSE)*性格一覧!$D22*Lv50時の伸び率!V22*0.01)*(VLOOKUP($C$3,ギルド一覧!$B$4:$R$29,8,FALSE)),(VLOOKUP($B$7,'モンスター　一覧'!$B$4:$O$198,11,FALSE)*性格一覧!$D22*Lv50時の伸び率!V22*0.01)*(VLOOKUP($C$3,ギルド一覧!$B$4:$R$29,14,FALSE)))</f>
        <v>259.41333333333336</v>
      </c>
      <c r="F31" s="193">
        <f>IF($C$4="通常",(VLOOKUP($B$7,'モンスター　一覧'!$B$4:$O$198,12,FALSE)*性格一覧!$E22*Lv50時の伸び率!W22*0.01)*(VLOOKUP($C$3,ギルド一覧!$B$4:$R$29,9,FALSE)),(VLOOKUP($B$7,'モンスター　一覧'!$B$4:$O$198,12,FALSE)*性格一覧!$E22*Lv50時の伸び率!W22*0.01)*(VLOOKUP($C$3,ギルド一覧!$B$4:$R$29,15,FALSE)))</f>
        <v>33.799999999999997</v>
      </c>
      <c r="G31" s="193">
        <f>IF($C$4="通常",(VLOOKUP($B$7,'モンスター　一覧'!$B$4:$O$198,13,FALSE)*性格一覧!$F22*Lv50時の伸び率!X22*0.01)*(VLOOKUP($C$3,ギルド一覧!$B$4:$R$29,10,FALSE)),(VLOOKUP($B$7,'モンスター　一覧'!$B$4:$O$198,13,FALSE)*性格一覧!$F22*Lv50時の伸び率!X22*0.01)*(VLOOKUP($C$3,ギルド一覧!$B$4:$R$29,16,FALSE)))</f>
        <v>85.17525773195878</v>
      </c>
      <c r="H31" s="201">
        <f>IF($C$4="通常",(VLOOKUP($B$7,'モンスター　一覧'!$B$4:$O$198,14,FALSE)*性格一覧!$G22*Lv50時の伸び率!Y22*0.01)*(VLOOKUP($C$3,ギルド一覧!$B$4:$R$29,11,FALSE)),(VLOOKUP($B$7,'モンスター　一覧'!$B$4:$O$198,14,FALSE)*性格一覧!$G22*Lv50時の伸び率!Y22*0.01)*VLOOKUP($C$3,ギルド一覧!$B$4:$R$29,17,FALSE))</f>
        <v>27.52941176470588</v>
      </c>
      <c r="I31" s="205">
        <f t="shared" si="0"/>
        <v>761.65388992677219</v>
      </c>
      <c r="J31" s="56"/>
      <c r="K31" s="198" t="s">
        <v>36</v>
      </c>
      <c r="L31" s="193">
        <f>IF($L$4="通常",(VLOOKUP($K$7,'モンスター　一覧'!$B$4:$O$198,9,FALSE)*性格一覧!$B22*Lv50時の伸び率!$T22*0.01)*(VLOOKUP($C$3,ギルド一覧!$B$4:$R$29,6,FALSE)),(VLOOKUP($K$7,'モンスター　一覧'!$B$4:$O$198,9,FALSE)*性格一覧!$B22*Lv50時の伸び率!$T22*0.01)*(VLOOKUP($C$3,ギルド一覧!$B$4:$R$29,12,FALSE)))</f>
        <v>189.03225806451613</v>
      </c>
      <c r="M31" s="193">
        <f>IF($L$4="通常",(VLOOKUP($K$7,'モンスター　一覧'!$B$4:$O$198,10,FALSE)*性格一覧!$C22*Lv50時の伸び率!$U22*0.01)*(VLOOKUP($L$3,ギルド一覧!$B$4:$R$29,7,FALSE)),(VLOOKUP($K$7,'モンスター　一覧'!$B$4:$O$198,10,FALSE)*性格一覧!$C22*Lv50時の伸び率!$U22*0.01)*(VLOOKUP($L$3,ギルド一覧!$B$4:$R$29,13,FALSE)))</f>
        <v>123.75</v>
      </c>
      <c r="N31" s="193">
        <f>IF($L$4="通常",(VLOOKUP($K$7,'モンスター　一覧'!$B$4:$O$198,11,FALSE)*性格一覧!$D22*Lv50時の伸び率!$V22*0.01)*(VLOOKUP($L$3,ギルド一覧!$B$4:$R$29,8,FALSE)),(VLOOKUP($K$7,'モンスター　一覧'!$B$4:$O$198,11,FALSE)*性格一覧!$D22*Lv50時の伸び率!$V22*0.01)*(VLOOKUP($C$3,ギルド一覧!$B$4:$R$29,14,FALSE)))</f>
        <v>194.56</v>
      </c>
      <c r="O31" s="193">
        <f>IF($L$4="通常",(VLOOKUP($K$7,'モンスター　一覧'!$B$4:$O$198,12,FALSE)*性格一覧!$E22*Lv50時の伸び率!$W22*0.01)*(VLOOKUP($L$3,ギルド一覧!$B$4:$R$29,9,FALSE)),(VLOOKUP($K$7,'モンスター　一覧'!$B$4:$O$198,12,FALSE)*性格一覧!$E22*Lv50時の伸び率!$W22*0.01)*(VLOOKUP($L$3,ギルド一覧!$B$4:$R$29,15,FALSE)))</f>
        <v>162.49999999999997</v>
      </c>
      <c r="P31" s="193">
        <f>IF($L$4="通常",(VLOOKUP($K$7,'モンスター　一覧'!$B$4:$O$198,13,FALSE)*性格一覧!$F22*Lv50時の伸び率!$X22*0.01)*(VLOOKUP($L$3,ギルド一覧!$B$4:$R$29,10,FALSE)),(VLOOKUP($K$7,'モンスター　一覧'!$B$4:$O$198,13,FALSE)*性格一覧!$F22*Lv50時の伸び率!$X22*0.01)*(VLOOKUP($L$3,ギルド一覧!$B$4:$R$29,16,FALSE)))</f>
        <v>189.72371134020622</v>
      </c>
      <c r="Q31" s="194">
        <f>IF($L$4="通常",(VLOOKUP($K$7,'モンスター　一覧'!$B$4:$O$198,14,FALSE)*性格一覧!$G22*Lv50時の伸び率!$Y22*0.01)*(VLOOKUP($L$3,ギルド一覧!$B$4:$R$29,11,FALSE)),(VLOOKUP($K$7,'モンスター　一覧'!$B$4:$O$198,14,FALSE)*性格一覧!$G22*Lv50時の伸び率!$Y22*0.01)*VLOOKUP($L$3,ギルド一覧!$B$4:$R$29,17,FALSE))</f>
        <v>157.31092436974788</v>
      </c>
      <c r="R31" s="205">
        <f t="shared" si="1"/>
        <v>1016.8768937744702</v>
      </c>
      <c r="T31" s="64" t="s">
        <v>36</v>
      </c>
      <c r="U31" s="193">
        <f>IF($U$4="通常",(VLOOKUP($T$7,'モンスター　一覧'!$B$4:$O$198,9,FALSE)*性格一覧!$B22*Lv50時の伸び率!$T22*0.01)*(VLOOKUP($U$3,ギルド一覧!$B$4:$R$29,6,FALSE)),(VLOOKUP($T$7,'モンスター　一覧'!$B$4:$O$198,9,FALSE)*性格一覧!$B22*Lv50時の伸び率!$T22*0.01)*(VLOOKUP($U$3,ギルド一覧!$B$4:$R$29,12,FALSE)))</f>
        <v>302.45161290322585</v>
      </c>
      <c r="V31" s="193">
        <f>IF($T$4="通常",(VLOOKUP($T$7,'モンスター　一覧'!$B$4:$O$198,10,FALSE)*性格一覧!$C22*Lv50時の伸び率!$U22*0.01)*(VLOOKUP($U$3,ギルド一覧!$B$4:$R$29,7,FALSE)),(VLOOKUP($T$7,'モンスター　一覧'!$B$4:$O$198,10,FALSE)*性格一覧!$C22*Lv50時の伸び率!$U22*0.01)*(VLOOKUP($U$3,ギルド一覧!$B$4:$R$29,13,FALSE)))</f>
        <v>156.75</v>
      </c>
      <c r="W31" s="193">
        <f>IF($U$4="通常",(VLOOKUP($T$7,'モンスター　一覧'!$B$4:$O$198,11,FALSE)*性格一覧!$D22*Lv50時の伸び率!$V22*0.01)*(VLOOKUP($U$3,ギルド一覧!$B$4:$R$29,8,FALSE)),(VLOOKUP($T$7,'モンスター　一覧'!$B$4:$O$198,11,FALSE)*性格一覧!$D22*Lv50時の伸び率!$V22*0.01)*(VLOOKUP($C$3,ギルド一覧!$B$4:$R$29,14,FALSE)))</f>
        <v>172.26666666666668</v>
      </c>
      <c r="X31" s="193">
        <f>IF($U$4="通常",(VLOOKUP($T$7,'モンスター　一覧'!$B$4:$O$198,12,FALSE)*性格一覧!$E22*Lv50時の伸び率!$W22*0.01)*(VLOOKUP($U$3,ギルド一覧!$B$4:$R$29,9,FALSE)),(VLOOKUP($T$7,'モンスター　一覧'!$B$4:$O$198,12,FALSE)*性格一覧!$E22*Lv50時の伸び率!$W22*0.01)*(VLOOKUP($U$3,ギルド一覧!$B$4:$R$29,15,FALSE)))</f>
        <v>115.69999999999999</v>
      </c>
      <c r="Y31" s="193">
        <f>IF($U$4="通常",(VLOOKUP($T$7,'モンスター　一覧'!$B$4:$O$198,13,FALSE)*性格一覧!$F22*Lv50時の伸び率!$X22*0.01)*(VLOOKUP($U$3,ギルド一覧!$B$4:$R$29,10,FALSE)),(VLOOKUP($T$7,'モンスター　一覧'!$B$4:$O$198,13,FALSE)*性格一覧!$F22*Lv50時の伸び率!$X22*0.01)*(VLOOKUP($U$3,ギルド一覧!$B$4:$R$29,16,FALSE)))</f>
        <v>136.94845360824743</v>
      </c>
      <c r="Z31" s="194">
        <f>IF($U$4="通常",(VLOOKUP($T$7,'モンスター　一覧'!$B$4:$O$198,14,FALSE)*性格一覧!$G22*Lv50時の伸び率!$Y22*0.01)*(VLOOKUP($U$3,ギルド一覧!$B$4:$R$29,11,FALSE)),(VLOOKUP($T$7,'モンスター　一覧'!$B$4:$O$198,14,FALSE)*性格一覧!$G22*Lv50時の伸び率!$Y22*0.01)*VLOOKUP($U$3,ギルド一覧!$B$4:$R$29,17,FALSE))</f>
        <v>249.73109243697476</v>
      </c>
      <c r="AA31" s="205">
        <f t="shared" si="2"/>
        <v>1133.8478256151147</v>
      </c>
      <c r="AC31" s="152" t="s">
        <v>811</v>
      </c>
      <c r="AD31" s="235" t="s">
        <v>890</v>
      </c>
    </row>
    <row r="32" spans="2:30" s="55" customFormat="1">
      <c r="B32" s="64" t="s">
        <v>37</v>
      </c>
      <c r="C32" s="193">
        <f>IF($C$4="通常",(VLOOKUP($B$7,'モンスター　一覧'!$B$4:$O$198,9,FALSE)*性格一覧!$B23*Lv50時の伸び率!T23*0.01)*(VLOOKUP($C$3,ギルド一覧!$B$4:$R$29,6,FALSE)),(VLOOKUP($B$7,'モンスター　一覧'!$B$4:$O$198,9,FALSE)*性格一覧!$B23*Lv50時の伸び率!T23*0.01)*(VLOOKUP($C$3,ギルド一覧!$B$4:$R$29,12,FALSE)))</f>
        <v>325.13513513513516</v>
      </c>
      <c r="D32" s="193">
        <f>IF($C$4="通常",(VLOOKUP($B$7,'モンスター　一覧'!$B$4:$O$198,10,FALSE)*性格一覧!$C23*Lv50時の伸び率!U23*0.01)*(VLOOKUP($C$3,ギルド一覧!$B$4:$R$29,7,FALSE)),(VLOOKUP($B$7,'モンスター　一覧'!$B$4:$O$198,10,FALSE)*性格一覧!$C23*Lv50時の伸び率!U23*0.01)*(VLOOKUP($C$3,ギルド一覧!$B$4:$R$29,13,FALSE)))</f>
        <v>76.774193548387103</v>
      </c>
      <c r="E32" s="193">
        <f>IF($C$4="通常",(VLOOKUP($B$7,'モンスター　一覧'!$B$4:$O$198,11,FALSE)*性格一覧!$D23*Lv50時の伸び率!V23*0.01)*(VLOOKUP($C$3,ギルド一覧!$B$4:$R$29,8,FALSE)),(VLOOKUP($B$7,'モンスター　一覧'!$B$4:$O$198,11,FALSE)*性格一覧!$D23*Lv50時の伸び率!V23*0.01)*(VLOOKUP($C$3,ギルド一覧!$B$4:$R$29,14,FALSE)))</f>
        <v>234.14634146341464</v>
      </c>
      <c r="F32" s="193">
        <f>IF($C$4="通常",(VLOOKUP($B$7,'モンスター　一覧'!$B$4:$O$198,12,FALSE)*性格一覧!$E23*Lv50時の伸び率!W23*0.01)*(VLOOKUP($C$3,ギルド一覧!$B$4:$R$29,9,FALSE)),(VLOOKUP($B$7,'モンスター　一覧'!$B$4:$O$198,12,FALSE)*性格一覧!$E23*Lv50時の伸び率!W23*0.01)*(VLOOKUP($C$3,ギルド一覧!$B$4:$R$29,15,FALSE)))</f>
        <v>37.345454545454544</v>
      </c>
      <c r="G32" s="193">
        <f>IF($C$4="通常",(VLOOKUP($B$7,'モンスター　一覧'!$B$4:$O$198,13,FALSE)*性格一覧!$F23*Lv50時の伸び率!X23*0.01)*(VLOOKUP($C$3,ギルド一覧!$B$4:$R$29,10,FALSE)),(VLOOKUP($B$7,'モンスター　一覧'!$B$4:$O$198,13,FALSE)*性格一覧!$F23*Lv50時の伸び率!X23*0.01)*(VLOOKUP($C$3,ギルド一覧!$B$4:$R$29,16,FALSE)))</f>
        <v>88.339285714285708</v>
      </c>
      <c r="H32" s="201">
        <f>IF($C$4="通常",(VLOOKUP($B$7,'モンスター　一覧'!$B$4:$O$198,14,FALSE)*性格一覧!$G23*Lv50時の伸び率!Y23*0.01)*(VLOOKUP($C$3,ギルド一覧!$B$4:$R$29,11,FALSE)),(VLOOKUP($B$7,'モンスター　一覧'!$B$4:$O$198,14,FALSE)*性格一覧!$G23*Lv50時の伸び率!Y23*0.01)*VLOOKUP($C$3,ギルド一覧!$B$4:$R$29,17,FALSE))</f>
        <v>26.303030303030301</v>
      </c>
      <c r="I32" s="205">
        <f t="shared" si="0"/>
        <v>788.0434407097074</v>
      </c>
      <c r="J32" s="56"/>
      <c r="K32" s="198" t="s">
        <v>37</v>
      </c>
      <c r="L32" s="193">
        <f>IF($L$4="通常",(VLOOKUP($K$7,'モンスター　一覧'!$B$4:$O$198,9,FALSE)*性格一覧!$B23*Lv50時の伸び率!$T23*0.01)*(VLOOKUP($C$3,ギルド一覧!$B$4:$R$29,6,FALSE)),(VLOOKUP($K$7,'モンスター　一覧'!$B$4:$O$198,9,FALSE)*性格一覧!$B23*Lv50時の伸び率!$T23*0.01)*(VLOOKUP($C$3,ギルド一覧!$B$4:$R$29,12,FALSE)))</f>
        <v>216.75675675675677</v>
      </c>
      <c r="M32" s="193">
        <f>IF($L$4="通常",(VLOOKUP($K$7,'モンスター　一覧'!$B$4:$O$198,10,FALSE)*性格一覧!$C23*Lv50時の伸び率!$U23*0.01)*(VLOOKUP($L$3,ギルド一覧!$B$4:$R$29,7,FALSE)),(VLOOKUP($K$7,'モンスター　一覧'!$B$4:$O$198,10,FALSE)*性格一覧!$C23*Lv50時の伸び率!$U23*0.01)*(VLOOKUP($L$3,ギルド一覧!$B$4:$R$29,13,FALSE)))</f>
        <v>131.61290322580646</v>
      </c>
      <c r="N32" s="193">
        <f>IF($L$4="通常",(VLOOKUP($K$7,'モンスター　一覧'!$B$4:$O$198,11,FALSE)*性格一覧!$D23*Lv50時の伸び率!$V23*0.01)*(VLOOKUP($L$3,ギルド一覧!$B$4:$R$29,8,FALSE)),(VLOOKUP($K$7,'モンスター　一覧'!$B$4:$O$198,11,FALSE)*性格一覧!$D23*Lv50時の伸び率!$V23*0.01)*(VLOOKUP($C$3,ギルド一覧!$B$4:$R$29,14,FALSE)))</f>
        <v>175.60975609756096</v>
      </c>
      <c r="O32" s="193">
        <f>IF($L$4="通常",(VLOOKUP($K$7,'モンスター　一覧'!$B$4:$O$198,12,FALSE)*性格一覧!$E23*Lv50時の伸び率!$W23*0.01)*(VLOOKUP($L$3,ギルド一覧!$B$4:$R$29,9,FALSE)),(VLOOKUP($K$7,'モンスター　一覧'!$B$4:$O$198,12,FALSE)*性格一覧!$E23*Lv50時の伸び率!$W23*0.01)*(VLOOKUP($L$3,ギルド一覧!$B$4:$R$29,15,FALSE)))</f>
        <v>179.54545454545453</v>
      </c>
      <c r="P32" s="193">
        <f>IF($L$4="通常",(VLOOKUP($K$7,'モンスター　一覧'!$B$4:$O$198,13,FALSE)*性格一覧!$F23*Lv50時の伸び率!$X23*0.01)*(VLOOKUP($L$3,ギルド一覧!$B$4:$R$29,10,FALSE)),(VLOOKUP($K$7,'モンスター　一覧'!$B$4:$O$198,13,FALSE)*性格一覧!$F23*Lv50時の伸び率!$X23*0.01)*(VLOOKUP($L$3,ギルド一覧!$B$4:$R$29,16,FALSE)))</f>
        <v>196.7714285714286</v>
      </c>
      <c r="Q32" s="194">
        <f>IF($L$4="通常",(VLOOKUP($K$7,'モンスター　一覧'!$B$4:$O$198,14,FALSE)*性格一覧!$G23*Lv50時の伸び率!$Y23*0.01)*(VLOOKUP($L$3,ギルド一覧!$B$4:$R$29,11,FALSE)),(VLOOKUP($K$7,'モンスター　一覧'!$B$4:$O$198,14,FALSE)*性格一覧!$G23*Lv50時の伸び率!$Y23*0.01)*VLOOKUP($L$3,ギルド一覧!$B$4:$R$29,17,FALSE))</f>
        <v>150.30303030303028</v>
      </c>
      <c r="R32" s="205">
        <f t="shared" si="1"/>
        <v>1050.5993295000376</v>
      </c>
      <c r="T32" s="64" t="s">
        <v>37</v>
      </c>
      <c r="U32" s="193">
        <f>IF($U$4="通常",(VLOOKUP($T$7,'モンスター　一覧'!$B$4:$O$198,9,FALSE)*性格一覧!$B23*Lv50時の伸び率!$T23*0.01)*(VLOOKUP($U$3,ギルド一覧!$B$4:$R$29,6,FALSE)),(VLOOKUP($T$7,'モンスター　一覧'!$B$4:$O$198,9,FALSE)*性格一覧!$B23*Lv50時の伸び率!$T23*0.01)*(VLOOKUP($U$3,ギルド一覧!$B$4:$R$29,12,FALSE)))</f>
        <v>346.81081081081078</v>
      </c>
      <c r="V32" s="193">
        <f>IF($T$4="通常",(VLOOKUP($T$7,'モンスター　一覧'!$B$4:$O$198,10,FALSE)*性格一覧!$C23*Lv50時の伸び率!$U23*0.01)*(VLOOKUP($U$3,ギルド一覧!$B$4:$R$29,7,FALSE)),(VLOOKUP($T$7,'モンスター　一覧'!$B$4:$O$198,10,FALSE)*性格一覧!$C23*Lv50時の伸び率!$U23*0.01)*(VLOOKUP($U$3,ギルド一覧!$B$4:$R$29,13,FALSE)))</f>
        <v>166.70967741935485</v>
      </c>
      <c r="W32" s="193">
        <f>IF($U$4="通常",(VLOOKUP($T$7,'モンスター　一覧'!$B$4:$O$198,11,FALSE)*性格一覧!$D23*Lv50時の伸び率!$V23*0.01)*(VLOOKUP($U$3,ギルド一覧!$B$4:$R$29,8,FALSE)),(VLOOKUP($T$7,'モンスター　一覧'!$B$4:$O$198,11,FALSE)*性格一覧!$D23*Lv50時の伸び率!$V23*0.01)*(VLOOKUP($C$3,ギルド一覧!$B$4:$R$29,14,FALSE)))</f>
        <v>155.48780487804876</v>
      </c>
      <c r="X32" s="193">
        <f>IF($U$4="通常",(VLOOKUP($T$7,'モンスター　一覧'!$B$4:$O$198,12,FALSE)*性格一覧!$E23*Lv50時の伸び率!$W23*0.01)*(VLOOKUP($U$3,ギルド一覧!$B$4:$R$29,9,FALSE)),(VLOOKUP($T$7,'モンスター　一覧'!$B$4:$O$198,12,FALSE)*性格一覧!$E23*Lv50時の伸び率!$W23*0.01)*(VLOOKUP($U$3,ギルド一覧!$B$4:$R$29,15,FALSE)))</f>
        <v>127.83636363636363</v>
      </c>
      <c r="Y32" s="193">
        <f>IF($U$4="通常",(VLOOKUP($T$7,'モンスター　一覧'!$B$4:$O$198,13,FALSE)*性格一覧!$F23*Lv50時の伸び率!$X23*0.01)*(VLOOKUP($U$3,ギルド一覧!$B$4:$R$29,10,FALSE)),(VLOOKUP($T$7,'モンスター　一覧'!$B$4:$O$198,13,FALSE)*性格一覧!$F23*Lv50時の伸び率!$X23*0.01)*(VLOOKUP($U$3,ギルド一覧!$B$4:$R$29,16,FALSE)))</f>
        <v>142.03571428571431</v>
      </c>
      <c r="Z32" s="194">
        <f>IF($U$4="通常",(VLOOKUP($T$7,'モンスター　一覧'!$B$4:$O$198,14,FALSE)*性格一覧!$G23*Lv50時の伸び率!$Y23*0.01)*(VLOOKUP($U$3,ギルド一覧!$B$4:$R$29,11,FALSE)),(VLOOKUP($T$7,'モンスター　一覧'!$B$4:$O$198,14,FALSE)*性格一覧!$G23*Lv50時の伸び率!$Y23*0.01)*VLOOKUP($U$3,ギルド一覧!$B$4:$R$29,17,FALSE))</f>
        <v>238.60606060606057</v>
      </c>
      <c r="AA32" s="205">
        <f t="shared" si="2"/>
        <v>1177.486431636353</v>
      </c>
      <c r="AC32" s="152" t="s">
        <v>97</v>
      </c>
      <c r="AD32" s="235"/>
    </row>
    <row r="33" spans="2:30" s="55" customFormat="1">
      <c r="B33" s="64" t="s">
        <v>38</v>
      </c>
      <c r="C33" s="193">
        <f>IF($C$4="通常",(VLOOKUP($B$7,'モンスター　一覧'!$B$4:$O$198,9,FALSE)*性格一覧!$B24*Lv50時の伸び率!T24*0.01)*(VLOOKUP($C$3,ギルド一覧!$B$4:$R$29,6,FALSE)),(VLOOKUP($B$7,'モンスター　一覧'!$B$4:$O$198,9,FALSE)*性格一覧!$B24*Lv50時の伸び率!T24*0.01)*(VLOOKUP($C$3,ギルド一覧!$B$4:$R$29,12,FALSE)))</f>
        <v>283.54838709677415</v>
      </c>
      <c r="D33" s="193">
        <f>IF($C$4="通常",(VLOOKUP($B$7,'モンスター　一覧'!$B$4:$O$198,10,FALSE)*性格一覧!$C24*Lv50時の伸び率!U24*0.01)*(VLOOKUP($C$3,ギルド一覧!$B$4:$R$29,7,FALSE)),(VLOOKUP($B$7,'モンスター　一覧'!$B$4:$O$198,10,FALSE)*性格一覧!$C24*Lv50時の伸び率!U24*0.01)*(VLOOKUP($C$3,ギルド一覧!$B$4:$R$29,13,FALSE)))</f>
        <v>61.250000000000007</v>
      </c>
      <c r="E33" s="193">
        <f>IF($C$4="通常",(VLOOKUP($B$7,'モンスター　一覧'!$B$4:$O$198,11,FALSE)*性格一覧!$D24*Lv50時の伸び率!V24*0.01)*(VLOOKUP($C$3,ギルド一覧!$B$4:$R$29,8,FALSE)),(VLOOKUP($B$7,'モンスター　一覧'!$B$4:$O$198,11,FALSE)*性格一覧!$D24*Lv50時の伸び率!V24*0.01)*(VLOOKUP($C$3,ギルド一覧!$B$4:$R$29,14,FALSE)))</f>
        <v>259.41333333333336</v>
      </c>
      <c r="F33" s="193">
        <f>IF($C$4="通常",(VLOOKUP($B$7,'モンスター　一覧'!$B$4:$O$198,12,FALSE)*性格一覧!$E24*Lv50時の伸び率!W24*0.01)*(VLOOKUP($C$3,ギルド一覧!$B$4:$R$29,9,FALSE)),(VLOOKUP($B$7,'モンスター　一覧'!$B$4:$O$198,12,FALSE)*性格一覧!$E24*Lv50時の伸び率!W24*0.01)*(VLOOKUP($C$3,ギルド一覧!$B$4:$R$29,15,FALSE)))</f>
        <v>51.054545454545455</v>
      </c>
      <c r="G33" s="193">
        <f>IF($C$4="通常",(VLOOKUP($B$7,'モンスター　一覧'!$B$4:$O$198,13,FALSE)*性格一覧!$F24*Lv50時の伸び率!X24*0.01)*(VLOOKUP($C$3,ギルド一覧!$B$4:$R$29,10,FALSE)),(VLOOKUP($B$7,'モンスター　一覧'!$B$4:$O$198,13,FALSE)*性格一覧!$F24*Lv50時の伸び率!X24*0.01)*(VLOOKUP($C$3,ギルド一覧!$B$4:$R$29,16,FALSE)))</f>
        <v>80.969072164948443</v>
      </c>
      <c r="H33" s="201">
        <f>IF($C$4="通常",(VLOOKUP($B$7,'モンスター　一覧'!$B$4:$O$198,14,FALSE)*性格一覧!$G24*Lv50時の伸び率!Y24*0.01)*(VLOOKUP($C$3,ギルド一覧!$B$4:$R$29,11,FALSE)),(VLOOKUP($B$7,'モンスター　一覧'!$B$4:$O$198,14,FALSE)*性格一覧!$G24*Lv50時の伸び率!Y24*0.01)*VLOOKUP($C$3,ギルド一覧!$B$4:$R$29,17,FALSE))</f>
        <v>26</v>
      </c>
      <c r="I33" s="205">
        <f t="shared" si="0"/>
        <v>762.23533804960141</v>
      </c>
      <c r="J33" s="56"/>
      <c r="K33" s="198" t="s">
        <v>38</v>
      </c>
      <c r="L33" s="193">
        <f>IF($L$4="通常",(VLOOKUP($K$7,'モンスター　一覧'!$B$4:$O$198,9,FALSE)*性格一覧!$B24*Lv50時の伸び率!$T24*0.01)*(VLOOKUP($C$3,ギルド一覧!$B$4:$R$29,6,FALSE)),(VLOOKUP($K$7,'モンスター　一覧'!$B$4:$O$198,9,FALSE)*性格一覧!$B24*Lv50時の伸び率!$T24*0.01)*(VLOOKUP($C$3,ギルド一覧!$B$4:$R$29,12,FALSE)))</f>
        <v>189.0322580645161</v>
      </c>
      <c r="M33" s="193">
        <f>IF($L$4="通常",(VLOOKUP($K$7,'モンスター　一覧'!$B$4:$O$198,10,FALSE)*性格一覧!$C24*Lv50時の伸び率!$U24*0.01)*(VLOOKUP($L$3,ギルド一覧!$B$4:$R$29,7,FALSE)),(VLOOKUP($K$7,'モンスター　一覧'!$B$4:$O$198,10,FALSE)*性格一覧!$C24*Lv50時の伸び率!$U24*0.01)*(VLOOKUP($L$3,ギルド一覧!$B$4:$R$29,13,FALSE)))</f>
        <v>105.00000000000001</v>
      </c>
      <c r="N33" s="193">
        <f>IF($L$4="通常",(VLOOKUP($K$7,'モンスター　一覧'!$B$4:$O$198,11,FALSE)*性格一覧!$D24*Lv50時の伸び率!$V24*0.01)*(VLOOKUP($L$3,ギルド一覧!$B$4:$R$29,8,FALSE)),(VLOOKUP($K$7,'モンスター　一覧'!$B$4:$O$198,11,FALSE)*性格一覧!$D24*Lv50時の伸び率!$V24*0.01)*(VLOOKUP($C$3,ギルド一覧!$B$4:$R$29,14,FALSE)))</f>
        <v>194.56</v>
      </c>
      <c r="O33" s="193">
        <f>IF($L$4="通常",(VLOOKUP($K$7,'モンスター　一覧'!$B$4:$O$198,12,FALSE)*性格一覧!$E24*Lv50時の伸び率!$W24*0.01)*(VLOOKUP($L$3,ギルド一覧!$B$4:$R$29,9,FALSE)),(VLOOKUP($K$7,'モンスター　一覧'!$B$4:$O$198,12,FALSE)*性格一覧!$E24*Lv50時の伸び率!$W24*0.01)*(VLOOKUP($L$3,ギルド一覧!$B$4:$R$29,15,FALSE)))</f>
        <v>245.45454545454544</v>
      </c>
      <c r="P33" s="193">
        <f>IF($L$4="通常",(VLOOKUP($K$7,'モンスター　一覧'!$B$4:$O$198,13,FALSE)*性格一覧!$F24*Lv50時の伸び率!$X24*0.01)*(VLOOKUP($L$3,ギルド一覧!$B$4:$R$29,10,FALSE)),(VLOOKUP($K$7,'モンスター　一覧'!$B$4:$O$198,13,FALSE)*性格一覧!$F24*Lv50時の伸び率!$X24*0.01)*(VLOOKUP($L$3,ギルド一覧!$B$4:$R$29,16,FALSE)))</f>
        <v>180.35463917525774</v>
      </c>
      <c r="Q33" s="194">
        <f>IF($L$4="通常",(VLOOKUP($K$7,'モンスター　一覧'!$B$4:$O$198,14,FALSE)*性格一覧!$G24*Lv50時の伸び率!$Y24*0.01)*(VLOOKUP($L$3,ギルド一覧!$B$4:$R$29,11,FALSE)),(VLOOKUP($K$7,'モンスター　一覧'!$B$4:$O$198,14,FALSE)*性格一覧!$G24*Lv50時の伸び率!$Y24*0.01)*VLOOKUP($L$3,ギルド一覧!$B$4:$R$29,17,FALSE))</f>
        <v>148.57142857142858</v>
      </c>
      <c r="R33" s="205">
        <f t="shared" si="1"/>
        <v>1062.9728712657479</v>
      </c>
      <c r="T33" s="64" t="s">
        <v>38</v>
      </c>
      <c r="U33" s="193">
        <f>IF($U$4="通常",(VLOOKUP($T$7,'モンスター　一覧'!$B$4:$O$198,9,FALSE)*性格一覧!$B24*Lv50時の伸び率!$T24*0.01)*(VLOOKUP($U$3,ギルド一覧!$B$4:$R$29,6,FALSE)),(VLOOKUP($T$7,'モンスター　一覧'!$B$4:$O$198,9,FALSE)*性格一覧!$B24*Lv50時の伸び率!$T24*0.01)*(VLOOKUP($U$3,ギルド一覧!$B$4:$R$29,12,FALSE)))</f>
        <v>302.45161290322579</v>
      </c>
      <c r="V33" s="193">
        <f>IF($T$4="通常",(VLOOKUP($T$7,'モンスター　一覧'!$B$4:$O$198,10,FALSE)*性格一覧!$C24*Lv50時の伸び率!$U24*0.01)*(VLOOKUP($U$3,ギルド一覧!$B$4:$R$29,7,FALSE)),(VLOOKUP($T$7,'モンスター　一覧'!$B$4:$O$198,10,FALSE)*性格一覧!$C24*Lv50時の伸び率!$U24*0.01)*(VLOOKUP($U$3,ギルド一覧!$B$4:$R$29,13,FALSE)))</f>
        <v>133.00000000000003</v>
      </c>
      <c r="W33" s="193">
        <f>IF($U$4="通常",(VLOOKUP($T$7,'モンスター　一覧'!$B$4:$O$198,11,FALSE)*性格一覧!$D24*Lv50時の伸び率!$V24*0.01)*(VLOOKUP($U$3,ギルド一覧!$B$4:$R$29,8,FALSE)),(VLOOKUP($T$7,'モンスター　一覧'!$B$4:$O$198,11,FALSE)*性格一覧!$D24*Lv50時の伸び率!$V24*0.01)*(VLOOKUP($C$3,ギルド一覧!$B$4:$R$29,14,FALSE)))</f>
        <v>172.26666666666668</v>
      </c>
      <c r="X33" s="193">
        <f>IF($U$4="通常",(VLOOKUP($T$7,'モンスター　一覧'!$B$4:$O$198,12,FALSE)*性格一覧!$E24*Lv50時の伸び率!$W24*0.01)*(VLOOKUP($U$3,ギルド一覧!$B$4:$R$29,9,FALSE)),(VLOOKUP($T$7,'モンスター　一覧'!$B$4:$O$198,12,FALSE)*性格一覧!$E24*Lv50時の伸び率!$W24*0.01)*(VLOOKUP($U$3,ギルド一覧!$B$4:$R$29,15,FALSE)))</f>
        <v>174.76363636363635</v>
      </c>
      <c r="Y33" s="193">
        <f>IF($U$4="通常",(VLOOKUP($T$7,'モンスター　一覧'!$B$4:$O$198,13,FALSE)*性格一覧!$F24*Lv50時の伸び率!$X24*0.01)*(VLOOKUP($U$3,ギルド一覧!$B$4:$R$29,10,FALSE)),(VLOOKUP($T$7,'モンスター　一覧'!$B$4:$O$198,13,FALSE)*性格一覧!$F24*Lv50時の伸び率!$X24*0.01)*(VLOOKUP($U$3,ギルド一覧!$B$4:$R$29,16,FALSE)))</f>
        <v>130.18556701030928</v>
      </c>
      <c r="Z33" s="194">
        <f>IF($U$4="通常",(VLOOKUP($T$7,'モンスター　一覧'!$B$4:$O$198,14,FALSE)*性格一覧!$G24*Lv50時の伸び率!$Y24*0.01)*(VLOOKUP($U$3,ギルド一覧!$B$4:$R$29,11,FALSE)),(VLOOKUP($T$7,'モンスター　一覧'!$B$4:$O$198,14,FALSE)*性格一覧!$G24*Lv50時の伸び率!$Y24*0.01)*VLOOKUP($U$3,ギルド一覧!$B$4:$R$29,17,FALSE))</f>
        <v>235.85714285714286</v>
      </c>
      <c r="AA33" s="205">
        <f t="shared" si="2"/>
        <v>1148.5246258009811</v>
      </c>
      <c r="AC33" s="152" t="s">
        <v>107</v>
      </c>
      <c r="AD33" s="235"/>
    </row>
    <row r="34" spans="2:30" s="55" customFormat="1">
      <c r="B34" s="64" t="s">
        <v>40</v>
      </c>
      <c r="C34" s="193">
        <f>IF($C$4="通常",(VLOOKUP($B$7,'モンスター　一覧'!$B$4:$O$198,9,FALSE)*性格一覧!$B25*Lv50時の伸び率!T25*0.01)*(VLOOKUP($C$3,ギルド一覧!$B$4:$R$29,6,FALSE)),(VLOOKUP($B$7,'モンスター　一覧'!$B$4:$O$198,9,FALSE)*性格一覧!$B25*Lv50時の伸び率!T25*0.01)*(VLOOKUP($C$3,ギルド一覧!$B$4:$R$29,12,FALSE)))</f>
        <v>308.70967741935488</v>
      </c>
      <c r="D34" s="193">
        <f>IF($C$4="通常",(VLOOKUP($B$7,'モンスター　一覧'!$B$4:$O$198,10,FALSE)*性格一覧!$C25*Lv50時の伸び率!U25*0.01)*(VLOOKUP($C$3,ギルド一覧!$B$4:$R$29,7,FALSE)),(VLOOKUP($B$7,'モンスター　一覧'!$B$4:$O$198,10,FALSE)*性格一覧!$C25*Lv50時の伸び率!U25*0.01)*(VLOOKUP($C$3,ギルド一覧!$B$4:$R$29,13,FALSE)))</f>
        <v>55.78125</v>
      </c>
      <c r="E34" s="193">
        <f>IF($C$4="通常",(VLOOKUP($B$7,'モンスター　一覧'!$B$4:$O$198,11,FALSE)*性格一覧!$D25*Lv50時の伸び率!V25*0.01)*(VLOOKUP($C$3,ギルド一覧!$B$4:$R$29,8,FALSE)),(VLOOKUP($B$7,'モンスター　一覧'!$B$4:$O$198,11,FALSE)*性格一覧!$D25*Lv50時の伸び率!V25*0.01)*(VLOOKUP($C$3,ギルド一覧!$B$4:$R$29,14,FALSE)))</f>
        <v>237.22666666666669</v>
      </c>
      <c r="F34" s="193">
        <f>IF($C$4="通常",(VLOOKUP($B$7,'モンスター　一覧'!$B$4:$O$198,12,FALSE)*性格一覧!$E25*Lv50時の伸び率!W25*0.01)*(VLOOKUP($C$3,ギルド一覧!$B$4:$R$29,9,FALSE)),(VLOOKUP($B$7,'モンスター　一覧'!$B$4:$O$198,12,FALSE)*性格一覧!$E25*Lv50時の伸び率!W25*0.01)*(VLOOKUP($C$3,ギルド一覧!$B$4:$R$29,15,FALSE)))</f>
        <v>37.345454545454544</v>
      </c>
      <c r="G34" s="193">
        <f>IF($C$4="通常",(VLOOKUP($B$7,'モンスター　一覧'!$B$4:$O$198,13,FALSE)*性格一覧!$F25*Lv50時の伸び率!X25*0.01)*(VLOOKUP($C$3,ギルド一覧!$B$4:$R$29,10,FALSE)),(VLOOKUP($B$7,'モンスター　一覧'!$B$4:$O$198,13,FALSE)*性格一覧!$F25*Lv50時の伸び率!X25*0.01)*(VLOOKUP($C$3,ギルド一覧!$B$4:$R$29,16,FALSE)))</f>
        <v>108.30927835051546</v>
      </c>
      <c r="H34" s="201">
        <f>IF($C$4="通常",(VLOOKUP($B$7,'モンスター　一覧'!$B$4:$O$198,14,FALSE)*性格一覧!$G25*Lv50時の伸び率!Y25*0.01)*(VLOOKUP($C$3,ギルド一覧!$B$4:$R$29,11,FALSE)),(VLOOKUP($B$7,'モンスター　一覧'!$B$4:$O$198,14,FALSE)*性格一覧!$G25*Lv50時の伸び率!Y25*0.01)*VLOOKUP($C$3,ギルド一覧!$B$4:$R$29,17,FALSE))</f>
        <v>24.117647058823533</v>
      </c>
      <c r="I34" s="205">
        <f t="shared" si="0"/>
        <v>771.48997404081513</v>
      </c>
      <c r="J34" s="56"/>
      <c r="K34" s="198" t="s">
        <v>40</v>
      </c>
      <c r="L34" s="193">
        <f>IF($L$4="通常",(VLOOKUP($K$7,'モンスター　一覧'!$B$4:$O$198,9,FALSE)*性格一覧!$B25*Lv50時の伸び率!$T25*0.01)*(VLOOKUP($C$3,ギルド一覧!$B$4:$R$29,6,FALSE)),(VLOOKUP($K$7,'モンスター　一覧'!$B$4:$O$198,9,FALSE)*性格一覧!$B25*Lv50時の伸び率!$T25*0.01)*(VLOOKUP($C$3,ギルド一覧!$B$4:$R$29,12,FALSE)))</f>
        <v>205.80645161290323</v>
      </c>
      <c r="M34" s="193">
        <f>IF($L$4="通常",(VLOOKUP($K$7,'モンスター　一覧'!$B$4:$O$198,10,FALSE)*性格一覧!$C25*Lv50時の伸び率!$U25*0.01)*(VLOOKUP($L$3,ギルド一覧!$B$4:$R$29,7,FALSE)),(VLOOKUP($K$7,'モンスター　一覧'!$B$4:$O$198,10,FALSE)*性格一覧!$C25*Lv50時の伸び率!$U25*0.01)*(VLOOKUP($L$3,ギルド一覧!$B$4:$R$29,13,FALSE)))</f>
        <v>95.625</v>
      </c>
      <c r="N34" s="193">
        <f>IF($L$4="通常",(VLOOKUP($K$7,'モンスター　一覧'!$B$4:$O$198,11,FALSE)*性格一覧!$D25*Lv50時の伸び率!$V25*0.01)*(VLOOKUP($L$3,ギルド一覧!$B$4:$R$29,8,FALSE)),(VLOOKUP($K$7,'モンスター　一覧'!$B$4:$O$198,11,FALSE)*性格一覧!$D25*Lv50時の伸び率!$V25*0.01)*(VLOOKUP($C$3,ギルド一覧!$B$4:$R$29,14,FALSE)))</f>
        <v>177.92000000000002</v>
      </c>
      <c r="O34" s="193">
        <f>IF($L$4="通常",(VLOOKUP($K$7,'モンスター　一覧'!$B$4:$O$198,12,FALSE)*性格一覧!$E25*Lv50時の伸び率!$W25*0.01)*(VLOOKUP($L$3,ギルド一覧!$B$4:$R$29,9,FALSE)),(VLOOKUP($K$7,'モンスター　一覧'!$B$4:$O$198,12,FALSE)*性格一覧!$E25*Lv50時の伸び率!$W25*0.01)*(VLOOKUP($L$3,ギルド一覧!$B$4:$R$29,15,FALSE)))</f>
        <v>179.54545454545453</v>
      </c>
      <c r="P34" s="193">
        <f>IF($L$4="通常",(VLOOKUP($K$7,'モンスター　一覧'!$B$4:$O$198,13,FALSE)*性格一覧!$F25*Lv50時の伸び率!$X25*0.01)*(VLOOKUP($L$3,ギルド一覧!$B$4:$R$29,10,FALSE)),(VLOOKUP($K$7,'モンスター　一覧'!$B$4:$O$198,13,FALSE)*性格一覧!$F25*Lv50時の伸び率!$X25*0.01)*(VLOOKUP($L$3,ギルド一覧!$B$4:$R$29,16,FALSE)))</f>
        <v>241.2536082474227</v>
      </c>
      <c r="Q34" s="194">
        <f>IF($L$4="通常",(VLOOKUP($K$7,'モンスター　一覧'!$B$4:$O$198,14,FALSE)*性格一覧!$G25*Lv50時の伸び率!$Y25*0.01)*(VLOOKUP($L$3,ギルド一覧!$B$4:$R$29,11,FALSE)),(VLOOKUP($K$7,'モンスター　一覧'!$B$4:$O$198,14,FALSE)*性格一覧!$G25*Lv50時の伸び率!$Y25*0.01)*VLOOKUP($L$3,ギルド一覧!$B$4:$R$29,17,FALSE))</f>
        <v>137.81512605042016</v>
      </c>
      <c r="R34" s="205">
        <f t="shared" si="1"/>
        <v>1037.9656404562006</v>
      </c>
      <c r="T34" s="64" t="s">
        <v>40</v>
      </c>
      <c r="U34" s="193">
        <f>IF($U$4="通常",(VLOOKUP($T$7,'モンスター　一覧'!$B$4:$O$198,9,FALSE)*性格一覧!$B25*Lv50時の伸び率!$T25*0.01)*(VLOOKUP($U$3,ギルド一覧!$B$4:$R$29,6,FALSE)),(VLOOKUP($T$7,'モンスター　一覧'!$B$4:$O$198,9,FALSE)*性格一覧!$B25*Lv50時の伸び率!$T25*0.01)*(VLOOKUP($U$3,ギルド一覧!$B$4:$R$29,12,FALSE)))</f>
        <v>329.29032258064518</v>
      </c>
      <c r="V34" s="193">
        <f>IF($T$4="通常",(VLOOKUP($T$7,'モンスター　一覧'!$B$4:$O$198,10,FALSE)*性格一覧!$C25*Lv50時の伸び率!$U25*0.01)*(VLOOKUP($U$3,ギルド一覧!$B$4:$R$29,7,FALSE)),(VLOOKUP($T$7,'モンスター　一覧'!$B$4:$O$198,10,FALSE)*性格一覧!$C25*Lv50時の伸び率!$U25*0.01)*(VLOOKUP($U$3,ギルド一覧!$B$4:$R$29,13,FALSE)))</f>
        <v>121.125</v>
      </c>
      <c r="W34" s="193">
        <f>IF($U$4="通常",(VLOOKUP($T$7,'モンスター　一覧'!$B$4:$O$198,11,FALSE)*性格一覧!$D25*Lv50時の伸び率!$V25*0.01)*(VLOOKUP($U$3,ギルド一覧!$B$4:$R$29,8,FALSE)),(VLOOKUP($T$7,'モンスター　一覧'!$B$4:$O$198,11,FALSE)*性格一覧!$D25*Lv50時の伸び率!$V25*0.01)*(VLOOKUP($C$3,ギルド一覧!$B$4:$R$29,14,FALSE)))</f>
        <v>157.53333333333333</v>
      </c>
      <c r="X34" s="193">
        <f>IF($U$4="通常",(VLOOKUP($T$7,'モンスター　一覧'!$B$4:$O$198,12,FALSE)*性格一覧!$E25*Lv50時の伸び率!$W25*0.01)*(VLOOKUP($U$3,ギルド一覧!$B$4:$R$29,9,FALSE)),(VLOOKUP($T$7,'モンスター　一覧'!$B$4:$O$198,12,FALSE)*性格一覧!$E25*Lv50時の伸び率!$W25*0.01)*(VLOOKUP($U$3,ギルド一覧!$B$4:$R$29,15,FALSE)))</f>
        <v>127.83636363636363</v>
      </c>
      <c r="Y34" s="193">
        <f>IF($U$4="通常",(VLOOKUP($T$7,'モンスター　一覧'!$B$4:$O$198,13,FALSE)*性格一覧!$F25*Lv50時の伸び率!$X25*0.01)*(VLOOKUP($U$3,ギルド一覧!$B$4:$R$29,10,FALSE)),(VLOOKUP($T$7,'モンスター　一覧'!$B$4:$O$198,13,FALSE)*性格一覧!$F25*Lv50時の伸び率!$X25*0.01)*(VLOOKUP($U$3,ギルド一覧!$B$4:$R$29,16,FALSE)))</f>
        <v>174.14432989690724</v>
      </c>
      <c r="Z34" s="194">
        <f>IF($U$4="通常",(VLOOKUP($T$7,'モンスター　一覧'!$B$4:$O$198,14,FALSE)*性格一覧!$G25*Lv50時の伸び率!$Y25*0.01)*(VLOOKUP($U$3,ギルド一覧!$B$4:$R$29,11,FALSE)),(VLOOKUP($T$7,'モンスター　一覧'!$B$4:$O$198,14,FALSE)*性格一覧!$G25*Lv50時の伸び率!$Y25*0.01)*VLOOKUP($U$3,ギルド一覧!$B$4:$R$29,17,FALSE))</f>
        <v>218.78151260504205</v>
      </c>
      <c r="AA34" s="205">
        <f t="shared" si="2"/>
        <v>1128.7108620522915</v>
      </c>
      <c r="AC34" s="152" t="s">
        <v>233</v>
      </c>
      <c r="AD34" s="235"/>
    </row>
    <row r="35" spans="2:30" s="55" customFormat="1">
      <c r="B35" s="64" t="s">
        <v>39</v>
      </c>
      <c r="C35" s="193">
        <f>IF($C$4="通常",(VLOOKUP($B$7,'モンスター　一覧'!$B$4:$O$198,9,FALSE)*性格一覧!$B26*Lv50時の伸び率!T26*0.01)*(VLOOKUP($C$3,ギルド一覧!$B$4:$R$29,6,FALSE)),(VLOOKUP($B$7,'モンスター　一覧'!$B$4:$O$198,9,FALSE)*性格一覧!$B26*Lv50時の伸び率!T26*0.01)*(VLOOKUP($C$3,ギルド一覧!$B$4:$R$29,12,FALSE)))</f>
        <v>283.7837837837838</v>
      </c>
      <c r="D35" s="193">
        <f>IF($C$4="通常",(VLOOKUP($B$7,'モンスター　一覧'!$B$4:$O$198,10,FALSE)*性格一覧!$C26*Lv50時の伸び率!U26*0.01)*(VLOOKUP($C$3,ギルド一覧!$B$4:$R$29,7,FALSE)),(VLOOKUP($B$7,'モンスター　一覧'!$B$4:$O$198,10,FALSE)*性格一覧!$C26*Lv50時の伸び率!U26*0.01)*(VLOOKUP($C$3,ギルド一覧!$B$4:$R$29,13,FALSE)))</f>
        <v>58.70967741935484</v>
      </c>
      <c r="E35" s="193">
        <f>IF($C$4="通常",(VLOOKUP($B$7,'モンスター　一覧'!$B$4:$O$198,11,FALSE)*性格一覧!$D26*Lv50時の伸び率!V26*0.01)*(VLOOKUP($C$3,ギルド一覧!$B$4:$R$29,8,FALSE)),(VLOOKUP($B$7,'モンスター　一覧'!$B$4:$O$198,11,FALSE)*性格一覧!$D26*Lv50時の伸び率!V26*0.01)*(VLOOKUP($C$3,ギルド一覧!$B$4:$R$29,14,FALSE)))</f>
        <v>222.69918699186994</v>
      </c>
      <c r="F35" s="193">
        <f>IF($C$4="通常",(VLOOKUP($B$7,'モンスター　一覧'!$B$4:$O$198,12,FALSE)*性格一覧!$E26*Lv50時の伸び率!W26*0.01)*(VLOOKUP($C$3,ギルド一覧!$B$4:$R$29,9,FALSE)),(VLOOKUP($B$7,'モンスター　一覧'!$B$4:$O$198,12,FALSE)*性格一覧!$E26*Lv50時の伸び率!W26*0.01)*(VLOOKUP($C$3,ギルド一覧!$B$4:$R$29,15,FALSE)))</f>
        <v>48.454545454545453</v>
      </c>
      <c r="G35" s="193">
        <f>IF($C$4="通常",(VLOOKUP($B$7,'モンスター　一覧'!$B$4:$O$198,13,FALSE)*性格一覧!$F26*Lv50時の伸び率!X26*0.01)*(VLOOKUP($C$3,ギルド一覧!$B$4:$R$29,10,FALSE)),(VLOOKUP($B$7,'モンスター　一覧'!$B$4:$O$198,13,FALSE)*性格一覧!$F26*Lv50時の伸び率!X26*0.01)*(VLOOKUP($C$3,ギルド一覧!$B$4:$R$29,16,FALSE)))</f>
        <v>88.339285714285708</v>
      </c>
      <c r="H35" s="201">
        <f>IF($C$4="通常",(VLOOKUP($B$7,'モンスター　一覧'!$B$4:$O$198,14,FALSE)*性格一覧!$G26*Lv50時の伸び率!Y26*0.01)*(VLOOKUP($C$3,ギルド一覧!$B$4:$R$29,11,FALSE)),(VLOOKUP($B$7,'モンスター　一覧'!$B$4:$O$198,14,FALSE)*性格一覧!$G26*Lv50時の伸び率!Y26*0.01)*VLOOKUP($C$3,ギルド一覧!$B$4:$R$29,17,FALSE))</f>
        <v>30.121212121212121</v>
      </c>
      <c r="I35" s="205">
        <f t="shared" si="0"/>
        <v>732.10769148505187</v>
      </c>
      <c r="J35" s="56"/>
      <c r="K35" s="198" t="s">
        <v>39</v>
      </c>
      <c r="L35" s="193">
        <f>IF($L$4="通常",(VLOOKUP($K$7,'モンスター　一覧'!$B$4:$O$198,9,FALSE)*性格一覧!$B26*Lv50時の伸び率!$T26*0.01)*(VLOOKUP($C$3,ギルド一覧!$B$4:$R$29,6,FALSE)),(VLOOKUP($K$7,'モンスター　一覧'!$B$4:$O$198,9,FALSE)*性格一覧!$B26*Lv50時の伸び率!$T26*0.01)*(VLOOKUP($C$3,ギルド一覧!$B$4:$R$29,12,FALSE)))</f>
        <v>189.18918918918919</v>
      </c>
      <c r="M35" s="193">
        <f>IF($L$4="通常",(VLOOKUP($K$7,'モンスター　一覧'!$B$4:$O$198,10,FALSE)*性格一覧!$C26*Lv50時の伸び率!$U26*0.01)*(VLOOKUP($L$3,ギルド一覧!$B$4:$R$29,7,FALSE)),(VLOOKUP($K$7,'モンスター　一覧'!$B$4:$O$198,10,FALSE)*性格一覧!$C26*Lv50時の伸び率!$U26*0.01)*(VLOOKUP($L$3,ギルド一覧!$B$4:$R$29,13,FALSE)))</f>
        <v>100.64516129032258</v>
      </c>
      <c r="N35" s="193">
        <f>IF($L$4="通常",(VLOOKUP($K$7,'モンスター　一覧'!$B$4:$O$198,11,FALSE)*性格一覧!$D26*Lv50時の伸び率!$V26*0.01)*(VLOOKUP($L$3,ギルド一覧!$B$4:$R$29,8,FALSE)),(VLOOKUP($K$7,'モンスター　一覧'!$B$4:$O$198,11,FALSE)*性格一覧!$D26*Lv50時の伸び率!$V26*0.01)*(VLOOKUP($C$3,ギルド一覧!$B$4:$R$29,14,FALSE)))</f>
        <v>167.02439024390245</v>
      </c>
      <c r="O35" s="193">
        <f>IF($L$4="通常",(VLOOKUP($K$7,'モンスター　一覧'!$B$4:$O$198,12,FALSE)*性格一覧!$E26*Lv50時の伸び率!$W26*0.01)*(VLOOKUP($L$3,ギルド一覧!$B$4:$R$29,9,FALSE)),(VLOOKUP($K$7,'モンスター　一覧'!$B$4:$O$198,12,FALSE)*性格一覧!$E26*Lv50時の伸び率!$W26*0.01)*(VLOOKUP($L$3,ギルド一覧!$B$4:$R$29,15,FALSE)))</f>
        <v>232.95454545454544</v>
      </c>
      <c r="P35" s="193">
        <f>IF($L$4="通常",(VLOOKUP($K$7,'モンスター　一覧'!$B$4:$O$198,13,FALSE)*性格一覧!$F26*Lv50時の伸び率!$X26*0.01)*(VLOOKUP($L$3,ギルド一覧!$B$4:$R$29,10,FALSE)),(VLOOKUP($K$7,'モンスター　一覧'!$B$4:$O$198,13,FALSE)*性格一覧!$F26*Lv50時の伸び率!$X26*0.01)*(VLOOKUP($L$3,ギルド一覧!$B$4:$R$29,16,FALSE)))</f>
        <v>196.77142857142857</v>
      </c>
      <c r="Q35" s="194">
        <f>IF($L$4="通常",(VLOOKUP($K$7,'モンスター　一覧'!$B$4:$O$198,14,FALSE)*性格一覧!$G26*Lv50時の伸び率!$Y26*0.01)*(VLOOKUP($L$3,ギルド一覧!$B$4:$R$29,11,FALSE)),(VLOOKUP($K$7,'モンスター　一覧'!$B$4:$O$198,14,FALSE)*性格一覧!$G26*Lv50時の伸び率!$Y26*0.01)*VLOOKUP($L$3,ギルド一覧!$B$4:$R$29,17,FALSE))</f>
        <v>172.12121212121212</v>
      </c>
      <c r="R35" s="205">
        <f t="shared" si="1"/>
        <v>1058.7059268706005</v>
      </c>
      <c r="T35" s="64" t="s">
        <v>39</v>
      </c>
      <c r="U35" s="193">
        <f>IF($U$4="通常",(VLOOKUP($T$7,'モンスター　一覧'!$B$4:$O$198,9,FALSE)*性格一覧!$B26*Lv50時の伸び率!$T26*0.01)*(VLOOKUP($U$3,ギルド一覧!$B$4:$R$29,6,FALSE)),(VLOOKUP($T$7,'モンスター　一覧'!$B$4:$O$198,9,FALSE)*性格一覧!$B26*Lv50時の伸び率!$T26*0.01)*(VLOOKUP($U$3,ギルド一覧!$B$4:$R$29,12,FALSE)))</f>
        <v>302.70270270270271</v>
      </c>
      <c r="V35" s="193">
        <f>IF($T$4="通常",(VLOOKUP($T$7,'モンスター　一覧'!$B$4:$O$198,10,FALSE)*性格一覧!$C26*Lv50時の伸び率!$U26*0.01)*(VLOOKUP($U$3,ギルド一覧!$B$4:$R$29,7,FALSE)),(VLOOKUP($T$7,'モンスター　一覧'!$B$4:$O$198,10,FALSE)*性格一覧!$C26*Lv50時の伸び率!$U26*0.01)*(VLOOKUP($U$3,ギルド一覧!$B$4:$R$29,13,FALSE)))</f>
        <v>127.48387096774194</v>
      </c>
      <c r="W35" s="193">
        <f>IF($U$4="通常",(VLOOKUP($T$7,'モンスター　一覧'!$B$4:$O$198,11,FALSE)*性格一覧!$D26*Lv50時の伸び率!$V26*0.01)*(VLOOKUP($U$3,ギルド一覧!$B$4:$R$29,8,FALSE)),(VLOOKUP($T$7,'モンスター　一覧'!$B$4:$O$198,11,FALSE)*性格一覧!$D26*Lv50時の伸び率!$V26*0.01)*(VLOOKUP($C$3,ギルド一覧!$B$4:$R$29,14,FALSE)))</f>
        <v>147.88617886178861</v>
      </c>
      <c r="X35" s="193">
        <f>IF($U$4="通常",(VLOOKUP($T$7,'モンスター　一覧'!$B$4:$O$198,12,FALSE)*性格一覧!$E26*Lv50時の伸び率!$W26*0.01)*(VLOOKUP($U$3,ギルド一覧!$B$4:$R$29,9,FALSE)),(VLOOKUP($T$7,'モンスター　一覧'!$B$4:$O$198,12,FALSE)*性格一覧!$E26*Lv50時の伸び率!$W26*0.01)*(VLOOKUP($U$3,ギルド一覧!$B$4:$R$29,15,FALSE)))</f>
        <v>165.86363636363637</v>
      </c>
      <c r="Y35" s="193">
        <f>IF($U$4="通常",(VLOOKUP($T$7,'モンスター　一覧'!$B$4:$O$198,13,FALSE)*性格一覧!$F26*Lv50時の伸び率!$X26*0.01)*(VLOOKUP($U$3,ギルド一覧!$B$4:$R$29,10,FALSE)),(VLOOKUP($T$7,'モンスター　一覧'!$B$4:$O$198,13,FALSE)*性格一覧!$F26*Lv50時の伸び率!$X26*0.01)*(VLOOKUP($U$3,ギルド一覧!$B$4:$R$29,16,FALSE)))</f>
        <v>142.03571428571428</v>
      </c>
      <c r="Z35" s="194">
        <f>IF($U$4="通常",(VLOOKUP($T$7,'モンスター　一覧'!$B$4:$O$198,14,FALSE)*性格一覧!$G26*Lv50時の伸び率!$Y26*0.01)*(VLOOKUP($U$3,ギルド一覧!$B$4:$R$29,11,FALSE)),(VLOOKUP($T$7,'モンスター　一覧'!$B$4:$O$198,14,FALSE)*性格一覧!$G26*Lv50時の伸び率!$Y26*0.01)*VLOOKUP($U$3,ギルド一覧!$B$4:$R$29,17,FALSE))</f>
        <v>273.24242424242425</v>
      </c>
      <c r="AA35" s="205">
        <f t="shared" si="2"/>
        <v>1159.2145274240081</v>
      </c>
      <c r="AC35" s="152" t="s">
        <v>251</v>
      </c>
      <c r="AD35" s="235"/>
    </row>
    <row r="36" spans="2:30" s="55" customFormat="1">
      <c r="B36" s="64" t="s">
        <v>42</v>
      </c>
      <c r="C36" s="193">
        <f>IF($C$4="通常",(VLOOKUP($B$7,'モンスター　一覧'!$B$4:$O$198,9,FALSE)*性格一覧!$B27*Lv50時の伸び率!T27*0.01)*(VLOOKUP($C$3,ギルド一覧!$B$4:$R$29,6,FALSE)),(VLOOKUP($B$7,'モンスター　一覧'!$B$4:$O$198,9,FALSE)*性格一覧!$B27*Lv50時の伸び率!T27*0.01)*(VLOOKUP($C$3,ギルド一覧!$B$4:$R$29,12,FALSE)))</f>
        <v>278.70967741935488</v>
      </c>
      <c r="D36" s="193">
        <f>IF($C$4="通常",(VLOOKUP($B$7,'モンスター　一覧'!$B$4:$O$198,10,FALSE)*性格一覧!$C27*Lv50時の伸び率!U27*0.01)*(VLOOKUP($C$3,ギルド一覧!$B$4:$R$29,7,FALSE)),(VLOOKUP($B$7,'モンスター　一覧'!$B$4:$O$198,10,FALSE)*性格一覧!$C27*Lv50時の伸び率!U27*0.01)*(VLOOKUP($C$3,ギルド一覧!$B$4:$R$29,13,FALSE)))</f>
        <v>76.562499999999986</v>
      </c>
      <c r="E36" s="193">
        <f>IF($C$4="通常",(VLOOKUP($B$7,'モンスター　一覧'!$B$4:$O$198,11,FALSE)*性格一覧!$D27*Lv50時の伸び率!V27*0.01)*(VLOOKUP($C$3,ギルド一覧!$B$4:$R$29,8,FALSE)),(VLOOKUP($B$7,'モンスター　一覧'!$B$4:$O$198,11,FALSE)*性格一覧!$D27*Lv50時の伸び率!V27*0.01)*(VLOOKUP($C$3,ギルド一覧!$B$4:$R$29,14,FALSE)))</f>
        <v>274.77333333333331</v>
      </c>
      <c r="F36" s="193">
        <f>IF($C$4="通常",(VLOOKUP($B$7,'モンスター　一覧'!$B$4:$O$198,12,FALSE)*性格一覧!$E27*Lv50時の伸び率!W27*0.01)*(VLOOKUP($C$3,ギルド一覧!$B$4:$R$29,9,FALSE)),(VLOOKUP($B$7,'モンスター　一覧'!$B$4:$O$198,12,FALSE)*性格一覧!$E27*Lv50時の伸び率!W27*0.01)*(VLOOKUP($C$3,ギルド一覧!$B$4:$R$29,15,FALSE)))</f>
        <v>47.74545454545455</v>
      </c>
      <c r="G36" s="193">
        <f>IF($C$4="通常",(VLOOKUP($B$7,'モンスター　一覧'!$B$4:$O$198,13,FALSE)*性格一覧!$F27*Lv50時の伸び率!X27*0.01)*(VLOOKUP($C$3,ギルド一覧!$B$4:$R$29,10,FALSE)),(VLOOKUP($B$7,'モンスター　一覧'!$B$4:$O$198,13,FALSE)*性格一覧!$F27*Lv50時の伸び率!X27*0.01)*(VLOOKUP($C$3,ギルド一覧!$B$4:$R$29,16,FALSE)))</f>
        <v>86.752577319587644</v>
      </c>
      <c r="H36" s="201">
        <f>IF($C$4="通常",(VLOOKUP($B$7,'モンスター　一覧'!$B$4:$O$198,14,FALSE)*性格一覧!$G27*Lv50時の伸び率!Y27*0.01)*(VLOOKUP($C$3,ギルド一覧!$B$4:$R$29,11,FALSE)),(VLOOKUP($B$7,'モンスター　一覧'!$B$4:$O$198,14,FALSE)*性格一覧!$G27*Lv50時の伸び率!Y27*0.01)*VLOOKUP($C$3,ギルド一覧!$B$4:$R$29,17,FALSE))</f>
        <v>20.705882352941178</v>
      </c>
      <c r="I36" s="205">
        <f t="shared" si="0"/>
        <v>785.24942497067161</v>
      </c>
      <c r="J36" s="56"/>
      <c r="K36" s="198" t="s">
        <v>42</v>
      </c>
      <c r="L36" s="193">
        <f>IF($L$4="通常",(VLOOKUP($K$7,'モンスター　一覧'!$B$4:$O$198,9,FALSE)*性格一覧!$B27*Lv50時の伸び率!$T27*0.01)*(VLOOKUP($C$3,ギルド一覧!$B$4:$R$29,6,FALSE)),(VLOOKUP($K$7,'モンスター　一覧'!$B$4:$O$198,9,FALSE)*性格一覧!$B27*Lv50時の伸び率!$T27*0.01)*(VLOOKUP($C$3,ギルド一覧!$B$4:$R$29,12,FALSE)))</f>
        <v>185.80645161290323</v>
      </c>
      <c r="M36" s="193">
        <f>IF($L$4="通常",(VLOOKUP($K$7,'モンスター　一覧'!$B$4:$O$198,10,FALSE)*性格一覧!$C27*Lv50時の伸び率!$U27*0.01)*(VLOOKUP($L$3,ギルド一覧!$B$4:$R$29,7,FALSE)),(VLOOKUP($K$7,'モンスター　一覧'!$B$4:$O$198,10,FALSE)*性格一覧!$C27*Lv50時の伸び率!$U27*0.01)*(VLOOKUP($L$3,ギルド一覧!$B$4:$R$29,13,FALSE)))</f>
        <v>131.24999999999997</v>
      </c>
      <c r="N36" s="193">
        <f>IF($L$4="通常",(VLOOKUP($K$7,'モンスター　一覧'!$B$4:$O$198,11,FALSE)*性格一覧!$D27*Lv50時の伸び率!$V27*0.01)*(VLOOKUP($L$3,ギルド一覧!$B$4:$R$29,8,FALSE)),(VLOOKUP($K$7,'モンスター　一覧'!$B$4:$O$198,11,FALSE)*性格一覧!$D27*Lv50時の伸び率!$V27*0.01)*(VLOOKUP($C$3,ギルド一覧!$B$4:$R$29,14,FALSE)))</f>
        <v>206.08</v>
      </c>
      <c r="O36" s="193">
        <f>IF($L$4="通常",(VLOOKUP($K$7,'モンスター　一覧'!$B$4:$O$198,12,FALSE)*性格一覧!$E27*Lv50時の伸び率!$W27*0.01)*(VLOOKUP($L$3,ギルド一覧!$B$4:$R$29,9,FALSE)),(VLOOKUP($K$7,'モンスター　一覧'!$B$4:$O$198,12,FALSE)*性格一覧!$E27*Lv50時の伸び率!$W27*0.01)*(VLOOKUP($L$3,ギルド一覧!$B$4:$R$29,15,FALSE)))</f>
        <v>229.54545454545456</v>
      </c>
      <c r="P36" s="193">
        <f>IF($L$4="通常",(VLOOKUP($K$7,'モンスター　一覧'!$B$4:$O$198,13,FALSE)*性格一覧!$F27*Lv50時の伸び率!$X27*0.01)*(VLOOKUP($L$3,ギルド一覧!$B$4:$R$29,10,FALSE)),(VLOOKUP($K$7,'モンスター　一覧'!$B$4:$O$198,13,FALSE)*性格一覧!$F27*Lv50時の伸び率!$X27*0.01)*(VLOOKUP($L$3,ギルド一覧!$B$4:$R$29,16,FALSE)))</f>
        <v>193.23711340206188</v>
      </c>
      <c r="Q36" s="194">
        <f>IF($L$4="通常",(VLOOKUP($K$7,'モンスター　一覧'!$B$4:$O$198,14,FALSE)*性格一覧!$G27*Lv50時の伸び率!$Y27*0.01)*(VLOOKUP($L$3,ギルド一覧!$B$4:$R$29,11,FALSE)),(VLOOKUP($K$7,'モンスター　一覧'!$B$4:$O$198,14,FALSE)*性格一覧!$G27*Lv50時の伸び率!$Y27*0.01)*VLOOKUP($L$3,ギルド一覧!$B$4:$R$29,17,FALSE))</f>
        <v>118.31932773109244</v>
      </c>
      <c r="R36" s="205">
        <f t="shared" si="1"/>
        <v>1064.2383472915121</v>
      </c>
      <c r="T36" s="64" t="s">
        <v>42</v>
      </c>
      <c r="U36" s="193">
        <f>IF($U$4="通常",(VLOOKUP($T$7,'モンスター　一覧'!$B$4:$O$198,9,FALSE)*性格一覧!$B27*Lv50時の伸び率!$T27*0.01)*(VLOOKUP($U$3,ギルド一覧!$B$4:$R$29,6,FALSE)),(VLOOKUP($T$7,'モンスター　一覧'!$B$4:$O$198,9,FALSE)*性格一覧!$B27*Lv50時の伸び率!$T27*0.01)*(VLOOKUP($U$3,ギルド一覧!$B$4:$R$29,12,FALSE)))</f>
        <v>297.29032258064518</v>
      </c>
      <c r="V36" s="193">
        <f>IF($T$4="通常",(VLOOKUP($T$7,'モンスター　一覧'!$B$4:$O$198,10,FALSE)*性格一覧!$C27*Lv50時の伸び率!$U27*0.01)*(VLOOKUP($U$3,ギルド一覧!$B$4:$R$29,7,FALSE)),(VLOOKUP($T$7,'モンスター　一覧'!$B$4:$O$198,10,FALSE)*性格一覧!$C27*Lv50時の伸び率!$U27*0.01)*(VLOOKUP($U$3,ギルド一覧!$B$4:$R$29,13,FALSE)))</f>
        <v>166.25</v>
      </c>
      <c r="W36" s="193">
        <f>IF($U$4="通常",(VLOOKUP($T$7,'モンスター　一覧'!$B$4:$O$198,11,FALSE)*性格一覧!$D27*Lv50時の伸び率!$V27*0.01)*(VLOOKUP($U$3,ギルド一覧!$B$4:$R$29,8,FALSE)),(VLOOKUP($T$7,'モンスター　一覧'!$B$4:$O$198,11,FALSE)*性格一覧!$D27*Lv50時の伸び率!$V27*0.01)*(VLOOKUP($C$3,ギルド一覧!$B$4:$R$29,14,FALSE)))</f>
        <v>182.46666666666664</v>
      </c>
      <c r="X36" s="193">
        <f>IF($U$4="通常",(VLOOKUP($T$7,'モンスター　一覧'!$B$4:$O$198,12,FALSE)*性格一覧!$E27*Lv50時の伸び率!$W27*0.01)*(VLOOKUP($U$3,ギルド一覧!$B$4:$R$29,9,FALSE)),(VLOOKUP($T$7,'モンスター　一覧'!$B$4:$O$198,12,FALSE)*性格一覧!$E27*Lv50時の伸び率!$W27*0.01)*(VLOOKUP($U$3,ギルド一覧!$B$4:$R$29,15,FALSE)))</f>
        <v>163.43636363636364</v>
      </c>
      <c r="Y36" s="193">
        <f>IF($U$4="通常",(VLOOKUP($T$7,'モンスター　一覧'!$B$4:$O$198,13,FALSE)*性格一覧!$F27*Lv50時の伸び率!$X27*0.01)*(VLOOKUP($U$3,ギルド一覧!$B$4:$R$29,10,FALSE)),(VLOOKUP($T$7,'モンスター　一覧'!$B$4:$O$198,13,FALSE)*性格一覧!$F27*Lv50時の伸び率!$X27*0.01)*(VLOOKUP($U$3,ギルド一覧!$B$4:$R$29,16,FALSE)))</f>
        <v>139.48453608247422</v>
      </c>
      <c r="Z36" s="194">
        <f>IF($U$4="通常",(VLOOKUP($T$7,'モンスター　一覧'!$B$4:$O$198,14,FALSE)*性格一覧!$G27*Lv50時の伸び率!$Y27*0.01)*(VLOOKUP($U$3,ギルド一覧!$B$4:$R$29,11,FALSE)),(VLOOKUP($T$7,'モンスター　一覧'!$B$4:$O$198,14,FALSE)*性格一覧!$G27*Lv50時の伸び率!$Y27*0.01)*VLOOKUP($U$3,ギルド一覧!$B$4:$R$29,17,FALSE))</f>
        <v>187.83193277310926</v>
      </c>
      <c r="AA36" s="205">
        <f t="shared" si="2"/>
        <v>1136.759821739259</v>
      </c>
      <c r="AC36" s="152" t="s">
        <v>189</v>
      </c>
      <c r="AD36" s="235"/>
    </row>
    <row r="37" spans="2:30" s="55" customFormat="1" ht="12">
      <c r="B37" s="64" t="s">
        <v>44</v>
      </c>
      <c r="C37" s="193">
        <f>IF($C$4="通常",(VLOOKUP($B$7,'モンスター　一覧'!$B$4:$O$198,9,FALSE)*性格一覧!$B28*Lv50時の伸び率!T28*0.01)*(VLOOKUP($C$3,ギルド一覧!$B$4:$R$29,6,FALSE)),(VLOOKUP($B$7,'モンスター　一覧'!$B$4:$O$198,9,FALSE)*性格一覧!$B28*Lv50時の伸び率!T28*0.01)*(VLOOKUP($C$3,ギルド一覧!$B$4:$R$29,12,FALSE)))</f>
        <v>354.32432432432427</v>
      </c>
      <c r="D37" s="193">
        <f>IF($C$4="通常",(VLOOKUP($B$7,'モンスター　一覧'!$B$4:$O$198,10,FALSE)*性格一覧!$C28*Lv50時の伸び率!U28*0.01)*(VLOOKUP($C$3,ギルド一覧!$B$4:$R$29,7,FALSE)),(VLOOKUP($B$7,'モンスター　一覧'!$B$4:$O$198,10,FALSE)*性格一覧!$C28*Lv50時の伸び率!U28*0.01)*(VLOOKUP($C$3,ギルド一覧!$B$4:$R$29,13,FALSE)))</f>
        <v>55.322580645161288</v>
      </c>
      <c r="E37" s="193">
        <f>IF($C$4="通常",(VLOOKUP($B$7,'モンスター　一覧'!$B$4:$O$198,11,FALSE)*性格一覧!$D28*Lv50時の伸び率!V28*0.01)*(VLOOKUP($C$3,ギルド一覧!$B$4:$R$29,8,FALSE)),(VLOOKUP($B$7,'モンスター　一覧'!$B$4:$O$198,11,FALSE)*性格一覧!$D28*Lv50時の伸び率!V28*0.01)*(VLOOKUP($C$3,ギルド一覧!$B$4:$R$29,14,FALSE)))</f>
        <v>305.95121951219511</v>
      </c>
      <c r="F37" s="193">
        <f>IF($C$4="通常",(VLOOKUP($B$7,'モンスター　一覧'!$B$4:$O$198,12,FALSE)*性格一覧!$E28*Lv50時の伸び率!W28*0.01)*(VLOOKUP($C$3,ギルド一覧!$B$4:$R$29,9,FALSE)),(VLOOKUP($B$7,'モンスター　一覧'!$B$4:$O$198,12,FALSE)*性格一覧!$E28*Lv50時の伸び率!W28*0.01)*(VLOOKUP($C$3,ギルド一覧!$B$4:$R$29,15,FALSE)))</f>
        <v>44.2</v>
      </c>
      <c r="G37" s="193">
        <f>IF($C$4="通常",(VLOOKUP($B$7,'モンスター　一覧'!$B$4:$O$198,13,FALSE)*性格一覧!$F28*Lv50時の伸び率!X28*0.01)*(VLOOKUP($C$3,ギルド一覧!$B$4:$R$29,10,FALSE)),(VLOOKUP($B$7,'モンスター　一覧'!$B$4:$O$198,13,FALSE)*性格一覧!$F28*Lv50時の伸び率!X28*0.01)*(VLOOKUP($C$3,ギルド一覧!$B$4:$R$29,16,FALSE)))</f>
        <v>80.142857142857139</v>
      </c>
      <c r="H37" s="201">
        <f>IF($C$4="通常",(VLOOKUP($B$7,'モンスター　一覧'!$B$4:$O$198,14,FALSE)*性格一覧!$G28*Lv50時の伸び率!Y28*0.01)*(VLOOKUP($C$3,ギルド一覧!$B$4:$R$29,11,FALSE)),(VLOOKUP($B$7,'モンスター　一覧'!$B$4:$O$198,14,FALSE)*性格一覧!$G28*Lv50時の伸び率!Y28*0.01)*VLOOKUP($C$3,ギルド一覧!$B$4:$R$29,17,FALSE))</f>
        <v>20.787878787878789</v>
      </c>
      <c r="I37" s="205">
        <f t="shared" si="0"/>
        <v>860.72886041241657</v>
      </c>
      <c r="J37" s="56"/>
      <c r="K37" s="198" t="s">
        <v>44</v>
      </c>
      <c r="L37" s="193">
        <f>IF($L$4="通常",(VLOOKUP($K$7,'モンスター　一覧'!$B$4:$O$198,9,FALSE)*性格一覧!$B28*Lv50時の伸び率!$T28*0.01)*(VLOOKUP($C$3,ギルド一覧!$B$4:$R$29,6,FALSE)),(VLOOKUP($K$7,'モンスター　一覧'!$B$4:$O$198,9,FALSE)*性格一覧!$B28*Lv50時の伸び率!$T28*0.01)*(VLOOKUP($C$3,ギルド一覧!$B$4:$R$29,12,FALSE)))</f>
        <v>236.2162162162162</v>
      </c>
      <c r="M37" s="193">
        <f>IF($L$4="通常",(VLOOKUP($K$7,'モンスター　一覧'!$B$4:$O$198,10,FALSE)*性格一覧!$C28*Lv50時の伸び率!$U28*0.01)*(VLOOKUP($L$3,ギルド一覧!$B$4:$R$29,7,FALSE)),(VLOOKUP($K$7,'モンスター　一覧'!$B$4:$O$198,10,FALSE)*性格一覧!$C28*Lv50時の伸び率!$U28*0.01)*(VLOOKUP($L$3,ギルド一覧!$B$4:$R$29,13,FALSE)))</f>
        <v>94.838709677419359</v>
      </c>
      <c r="N37" s="193">
        <f>IF($L$4="通常",(VLOOKUP($K$7,'モンスター　一覧'!$B$4:$O$198,11,FALSE)*性格一覧!$D28*Lv50時の伸び率!$V28*0.01)*(VLOOKUP($L$3,ギルド一覧!$B$4:$R$29,8,FALSE)),(VLOOKUP($K$7,'モンスター　一覧'!$B$4:$O$198,11,FALSE)*性格一覧!$D28*Lv50時の伸び率!$V28*0.01)*(VLOOKUP($C$3,ギルド一覧!$B$4:$R$29,14,FALSE)))</f>
        <v>229.46341463414632</v>
      </c>
      <c r="O37" s="193">
        <f>IF($L$4="通常",(VLOOKUP($K$7,'モンスター　一覧'!$B$4:$O$198,12,FALSE)*性格一覧!$E28*Lv50時の伸び率!$W28*0.01)*(VLOOKUP($L$3,ギルド一覧!$B$4:$R$29,9,FALSE)),(VLOOKUP($K$7,'モンスター　一覧'!$B$4:$O$198,12,FALSE)*性格一覧!$E28*Lv50時の伸び率!$W28*0.01)*(VLOOKUP($L$3,ギルド一覧!$B$4:$R$29,15,FALSE)))</f>
        <v>212.5</v>
      </c>
      <c r="P37" s="193">
        <f>IF($L$4="通常",(VLOOKUP($K$7,'モンスター　一覧'!$B$4:$O$198,13,FALSE)*性格一覧!$F28*Lv50時の伸び率!$X28*0.01)*(VLOOKUP($L$3,ギルド一覧!$B$4:$R$29,10,FALSE)),(VLOOKUP($K$7,'モンスター　一覧'!$B$4:$O$198,13,FALSE)*性格一覧!$F28*Lv50時の伸び率!$X28*0.01)*(VLOOKUP($L$3,ギルド一覧!$B$4:$R$29,16,FALSE)))</f>
        <v>178.51428571428573</v>
      </c>
      <c r="Q37" s="194">
        <f>IF($L$4="通常",(VLOOKUP($K$7,'モンスター　一覧'!$B$4:$O$198,14,FALSE)*性格一覧!$G28*Lv50時の伸び率!$Y28*0.01)*(VLOOKUP($L$3,ギルド一覧!$B$4:$R$29,11,FALSE)),(VLOOKUP($K$7,'モンスター　一覧'!$B$4:$O$198,14,FALSE)*性格一覧!$G28*Lv50時の伸び率!$Y28*0.01)*VLOOKUP($L$3,ギルド一覧!$B$4:$R$29,17,FALSE))</f>
        <v>118.7878787878788</v>
      </c>
      <c r="R37" s="205">
        <f t="shared" si="1"/>
        <v>1070.3205050299464</v>
      </c>
      <c r="T37" s="64" t="s">
        <v>44</v>
      </c>
      <c r="U37" s="193">
        <f>IF($U$4="通常",(VLOOKUP($T$7,'モンスター　一覧'!$B$4:$O$198,9,FALSE)*性格一覧!$B28*Lv50時の伸び率!$T28*0.01)*(VLOOKUP($U$3,ギルド一覧!$B$4:$R$29,6,FALSE)),(VLOOKUP($T$7,'モンスター　一覧'!$B$4:$O$198,9,FALSE)*性格一覧!$B28*Lv50時の伸び率!$T28*0.01)*(VLOOKUP($U$3,ギルド一覧!$B$4:$R$29,12,FALSE)))</f>
        <v>377.94594594594588</v>
      </c>
      <c r="V37" s="193">
        <f>IF($T$4="通常",(VLOOKUP($T$7,'モンスター　一覧'!$B$4:$O$198,10,FALSE)*性格一覧!$C28*Lv50時の伸び率!$U28*0.01)*(VLOOKUP($U$3,ギルド一覧!$B$4:$R$29,7,FALSE)),(VLOOKUP($T$7,'モンスター　一覧'!$B$4:$O$198,10,FALSE)*性格一覧!$C28*Lv50時の伸び率!$U28*0.01)*(VLOOKUP($U$3,ギルド一覧!$B$4:$R$29,13,FALSE)))</f>
        <v>120.12903225806451</v>
      </c>
      <c r="W37" s="193">
        <f>IF($U$4="通常",(VLOOKUP($T$7,'モンスター　一覧'!$B$4:$O$198,11,FALSE)*性格一覧!$D28*Lv50時の伸び率!$V28*0.01)*(VLOOKUP($U$3,ギルド一覧!$B$4:$R$29,8,FALSE)),(VLOOKUP($T$7,'モンスター　一覧'!$B$4:$O$198,11,FALSE)*性格一覧!$D28*Lv50時の伸び率!$V28*0.01)*(VLOOKUP($C$3,ギルド一覧!$B$4:$R$29,14,FALSE)))</f>
        <v>203.17073170731706</v>
      </c>
      <c r="X37" s="193">
        <f>IF($U$4="通常",(VLOOKUP($T$7,'モンスター　一覧'!$B$4:$O$198,12,FALSE)*性格一覧!$E28*Lv50時の伸び率!$W28*0.01)*(VLOOKUP($U$3,ギルド一覧!$B$4:$R$29,9,FALSE)),(VLOOKUP($T$7,'モンスター　一覧'!$B$4:$O$198,12,FALSE)*性格一覧!$E28*Lv50時の伸び率!$W28*0.01)*(VLOOKUP($U$3,ギルド一覧!$B$4:$R$29,15,FALSE)))</f>
        <v>151.30000000000001</v>
      </c>
      <c r="Y37" s="193">
        <f>IF($U$4="通常",(VLOOKUP($T$7,'モンスター　一覧'!$B$4:$O$198,13,FALSE)*性格一覧!$F28*Lv50時の伸び率!$X28*0.01)*(VLOOKUP($U$3,ギルド一覧!$B$4:$R$29,10,FALSE)),(VLOOKUP($T$7,'モンスター　一覧'!$B$4:$O$198,13,FALSE)*性格一覧!$F28*Lv50時の伸び率!$X28*0.01)*(VLOOKUP($U$3,ギルド一覧!$B$4:$R$29,16,FALSE)))</f>
        <v>128.85714285714283</v>
      </c>
      <c r="Z37" s="194">
        <f>IF($U$4="通常",(VLOOKUP($T$7,'モンスター　一覧'!$B$4:$O$198,14,FALSE)*性格一覧!$G28*Lv50時の伸び率!$Y28*0.01)*(VLOOKUP($U$3,ギルド一覧!$B$4:$R$29,11,FALSE)),(VLOOKUP($T$7,'モンスター　一覧'!$B$4:$O$198,14,FALSE)*性格一覧!$G28*Lv50時の伸び率!$Y28*0.01)*VLOOKUP($U$3,ギルド一覧!$B$4:$R$29,17,FALSE))</f>
        <v>188.57575757575759</v>
      </c>
      <c r="AA37" s="205">
        <f t="shared" si="2"/>
        <v>1169.9786103442279</v>
      </c>
      <c r="AC37" s="152" t="s">
        <v>157</v>
      </c>
      <c r="AD37" s="219"/>
    </row>
    <row r="38" spans="2:30" s="55" customFormat="1">
      <c r="B38" s="64" t="s">
        <v>45</v>
      </c>
      <c r="C38" s="193">
        <f>IF($C$4="通常",(VLOOKUP($B$7,'モンスター　一覧'!$B$4:$O$198,9,FALSE)*性格一覧!$B29*Lv50時の伸び率!T29*0.01)*(VLOOKUP($C$3,ギルド一覧!$B$4:$R$29,6,FALSE)),(VLOOKUP($B$7,'モンスター　一覧'!$B$4:$O$198,9,FALSE)*性格一覧!$B29*Lv50時の伸び率!T29*0.01)*(VLOOKUP($C$3,ギルド一覧!$B$4:$R$29,12,FALSE)))</f>
        <v>379.45945945945948</v>
      </c>
      <c r="D38" s="193">
        <f>IF($C$4="通常",(VLOOKUP($B$7,'モンスター　一覧'!$B$4:$O$198,10,FALSE)*性格一覧!$C29*Lv50時の伸び率!U29*0.01)*(VLOOKUP($C$3,ギルド一覧!$B$4:$R$29,7,FALSE)),(VLOOKUP($B$7,'モンスター　一覧'!$B$4:$O$198,10,FALSE)*性格一覧!$C29*Lv50時の伸び率!U29*0.01)*(VLOOKUP($C$3,ギルド一覧!$B$4:$R$29,13,FALSE)))</f>
        <v>50.806451612903224</v>
      </c>
      <c r="E38" s="193">
        <f>IF($C$4="通常",(VLOOKUP($B$7,'モンスター　一覧'!$B$4:$O$198,11,FALSE)*性格一覧!$D29*Lv50時の伸び率!V29*0.01)*(VLOOKUP($C$3,ギルド一覧!$B$4:$R$29,8,FALSE)),(VLOOKUP($B$7,'モンスター　一覧'!$B$4:$O$198,11,FALSE)*性格一覧!$D29*Lv50時の伸び率!V29*0.01)*(VLOOKUP($C$3,ギルド一覧!$B$4:$R$29,14,FALSE)))</f>
        <v>229.98373983739836</v>
      </c>
      <c r="F38" s="193">
        <f>IF($C$4="通常",(VLOOKUP($B$7,'モンスター　一覧'!$B$4:$O$198,12,FALSE)*性格一覧!$E29*Lv50時の伸び率!W29*0.01)*(VLOOKUP($C$3,ギルド一覧!$B$4:$R$29,9,FALSE)),(VLOOKUP($B$7,'モンスター　一覧'!$B$4:$O$198,12,FALSE)*性格一覧!$E29*Lv50時の伸び率!W29*0.01)*(VLOOKUP($C$3,ギルド一覧!$B$4:$R$29,15,FALSE)))</f>
        <v>59.56363636363637</v>
      </c>
      <c r="G38" s="193">
        <f>IF($C$4="通常",(VLOOKUP($B$7,'モンスター　一覧'!$B$4:$O$198,13,FALSE)*性格一覧!$F29*Lv50時の伸び率!X29*0.01)*(VLOOKUP($C$3,ギルド一覧!$B$4:$R$29,10,FALSE)),(VLOOKUP($B$7,'モンスター　一覧'!$B$4:$O$198,13,FALSE)*性格一覧!$F29*Lv50時の伸び率!X29*0.01)*(VLOOKUP($C$3,ギルド一覧!$B$4:$R$29,16,FALSE)))</f>
        <v>73.767857142857153</v>
      </c>
      <c r="H38" s="201">
        <f>IF($C$4="通常",(VLOOKUP($B$7,'モンスター　一覧'!$B$4:$O$198,14,FALSE)*性格一覧!$G29*Lv50時の伸び率!Y29*0.01)*(VLOOKUP($C$3,ギルド一覧!$B$4:$R$29,11,FALSE)),(VLOOKUP($B$7,'モンスター　一覧'!$B$4:$O$198,14,FALSE)*性格一覧!$G29*Lv50時の伸び率!Y29*0.01)*VLOOKUP($C$3,ギルド一覧!$B$4:$R$29,17,FALSE))</f>
        <v>23.333333333333332</v>
      </c>
      <c r="I38" s="205">
        <f t="shared" si="0"/>
        <v>816.91447774958795</v>
      </c>
      <c r="J38" s="56"/>
      <c r="K38" s="198" t="s">
        <v>45</v>
      </c>
      <c r="L38" s="193">
        <f>IF($L$4="通常",(VLOOKUP($K$7,'モンスター　一覧'!$B$4:$O$198,9,FALSE)*性格一覧!$B29*Lv50時の伸び率!$T29*0.01)*(VLOOKUP($C$3,ギルド一覧!$B$4:$R$29,6,FALSE)),(VLOOKUP($K$7,'モンスター　一覧'!$B$4:$O$198,9,FALSE)*性格一覧!$B29*Lv50時の伸び率!$T29*0.01)*(VLOOKUP($C$3,ギルド一覧!$B$4:$R$29,12,FALSE)))</f>
        <v>252.97297297297297</v>
      </c>
      <c r="M38" s="193">
        <f>IF($L$4="通常",(VLOOKUP($K$7,'モンスター　一覧'!$B$4:$O$198,10,FALSE)*性格一覧!$C29*Lv50時の伸び率!$U29*0.01)*(VLOOKUP($L$3,ギルド一覧!$B$4:$R$29,7,FALSE)),(VLOOKUP($K$7,'モンスター　一覧'!$B$4:$O$198,10,FALSE)*性格一覧!$C29*Lv50時の伸び率!$U29*0.01)*(VLOOKUP($L$3,ギルド一覧!$B$4:$R$29,13,FALSE)))</f>
        <v>87.09677419354837</v>
      </c>
      <c r="N38" s="193">
        <f>IF($L$4="通常",(VLOOKUP($K$7,'モンスター　一覧'!$B$4:$O$198,11,FALSE)*性格一覧!$D29*Lv50時の伸び率!$V29*0.01)*(VLOOKUP($L$3,ギルド一覧!$B$4:$R$29,8,FALSE)),(VLOOKUP($K$7,'モンスター　一覧'!$B$4:$O$198,11,FALSE)*性格一覧!$D29*Lv50時の伸び率!$V29*0.01)*(VLOOKUP($C$3,ギルド一覧!$B$4:$R$29,14,FALSE)))</f>
        <v>172.48780487804876</v>
      </c>
      <c r="O38" s="193">
        <f>IF($L$4="通常",(VLOOKUP($K$7,'モンスター　一覧'!$B$4:$O$198,12,FALSE)*性格一覧!$E29*Lv50時の伸び率!$W29*0.01)*(VLOOKUP($L$3,ギルド一覧!$B$4:$R$29,9,FALSE)),(VLOOKUP($K$7,'モンスター　一覧'!$B$4:$O$198,12,FALSE)*性格一覧!$E29*Lv50時の伸び率!$W29*0.01)*(VLOOKUP($L$3,ギルド一覧!$B$4:$R$29,15,FALSE)))</f>
        <v>286.36363636363637</v>
      </c>
      <c r="P38" s="193">
        <f>IF($L$4="通常",(VLOOKUP($K$7,'モンスター　一覧'!$B$4:$O$198,13,FALSE)*性格一覧!$F29*Lv50時の伸び率!$X29*0.01)*(VLOOKUP($L$3,ギルド一覧!$B$4:$R$29,10,FALSE)),(VLOOKUP($K$7,'モンスター　一覧'!$B$4:$O$198,13,FALSE)*性格一覧!$F29*Lv50時の伸び率!$X29*0.01)*(VLOOKUP($L$3,ギルド一覧!$B$4:$R$29,16,FALSE)))</f>
        <v>164.31428571428572</v>
      </c>
      <c r="Q38" s="194">
        <f>IF($L$4="通常",(VLOOKUP($K$7,'モンスター　一覧'!$B$4:$O$198,14,FALSE)*性格一覧!$G29*Lv50時の伸び率!$Y29*0.01)*(VLOOKUP($L$3,ギルド一覧!$B$4:$R$29,11,FALSE)),(VLOOKUP($K$7,'モンスター　一覧'!$B$4:$O$198,14,FALSE)*性格一覧!$G29*Lv50時の伸び率!$Y29*0.01)*VLOOKUP($L$3,ギルド一覧!$B$4:$R$29,17,FALSE))</f>
        <v>133.33333333333331</v>
      </c>
      <c r="R38" s="205">
        <f t="shared" si="1"/>
        <v>1096.5688074558254</v>
      </c>
      <c r="T38" s="64" t="s">
        <v>45</v>
      </c>
      <c r="U38" s="193">
        <f>IF($U$4="通常",(VLOOKUP($T$7,'モンスター　一覧'!$B$4:$O$198,9,FALSE)*性格一覧!$B29*Lv50時の伸び率!$T29*0.01)*(VLOOKUP($U$3,ギルド一覧!$B$4:$R$29,6,FALSE)),(VLOOKUP($T$7,'モンスター　一覧'!$B$4:$O$198,9,FALSE)*性格一覧!$B29*Lv50時の伸び率!$T29*0.01)*(VLOOKUP($U$3,ギルド一覧!$B$4:$R$29,12,FALSE)))</f>
        <v>404.75675675675672</v>
      </c>
      <c r="V38" s="193">
        <f>IF($T$4="通常",(VLOOKUP($T$7,'モンスター　一覧'!$B$4:$O$198,10,FALSE)*性格一覧!$C29*Lv50時の伸び率!$U29*0.01)*(VLOOKUP($U$3,ギルド一覧!$B$4:$R$29,7,FALSE)),(VLOOKUP($T$7,'モンスター　一覧'!$B$4:$O$198,10,FALSE)*性格一覧!$C29*Lv50時の伸び率!$U29*0.01)*(VLOOKUP($U$3,ギルド一覧!$B$4:$R$29,13,FALSE)))</f>
        <v>110.3225806451613</v>
      </c>
      <c r="W38" s="193">
        <f>IF($U$4="通常",(VLOOKUP($T$7,'モンスター　一覧'!$B$4:$O$198,11,FALSE)*性格一覧!$D29*Lv50時の伸び率!$V29*0.01)*(VLOOKUP($U$3,ギルド一覧!$B$4:$R$29,8,FALSE)),(VLOOKUP($T$7,'モンスター　一覧'!$B$4:$O$198,11,FALSE)*性格一覧!$D29*Lv50時の伸び率!$V29*0.01)*(VLOOKUP($C$3,ギルド一覧!$B$4:$R$29,14,FALSE)))</f>
        <v>152.72357723577235</v>
      </c>
      <c r="X38" s="193">
        <f>IF($U$4="通常",(VLOOKUP($T$7,'モンスター　一覧'!$B$4:$O$198,12,FALSE)*性格一覧!$E29*Lv50時の伸び率!$W29*0.01)*(VLOOKUP($U$3,ギルド一覧!$B$4:$R$29,9,FALSE)),(VLOOKUP($T$7,'モンスター　一覧'!$B$4:$O$198,12,FALSE)*性格一覧!$E29*Lv50時の伸び率!$W29*0.01)*(VLOOKUP($U$3,ギルド一覧!$B$4:$R$29,15,FALSE)))</f>
        <v>203.89090909090913</v>
      </c>
      <c r="Y38" s="193">
        <f>IF($U$4="通常",(VLOOKUP($T$7,'モンスター　一覧'!$B$4:$O$198,13,FALSE)*性格一覧!$F29*Lv50時の伸び率!$X29*0.01)*(VLOOKUP($U$3,ギルド一覧!$B$4:$R$29,10,FALSE)),(VLOOKUP($T$7,'モンスター　一覧'!$B$4:$O$198,13,FALSE)*性格一覧!$F29*Lv50時の伸び率!$X29*0.01)*(VLOOKUP($U$3,ギルド一覧!$B$4:$R$29,16,FALSE)))</f>
        <v>118.60714285714286</v>
      </c>
      <c r="Z38" s="194">
        <f>IF($U$4="通常",(VLOOKUP($T$7,'モンスター　一覧'!$B$4:$O$198,14,FALSE)*性格一覧!$G29*Lv50時の伸び率!$Y29*0.01)*(VLOOKUP($U$3,ギルド一覧!$B$4:$R$29,11,FALSE)),(VLOOKUP($T$7,'モンスター　一覧'!$B$4:$O$198,14,FALSE)*性格一覧!$G29*Lv50時の伸び率!$Y29*0.01)*VLOOKUP($U$3,ギルド一覧!$B$4:$R$29,17,FALSE))</f>
        <v>211.66666666666666</v>
      </c>
      <c r="AA38" s="205">
        <f t="shared" si="2"/>
        <v>1201.9676332524091</v>
      </c>
      <c r="AC38" s="152" t="s">
        <v>149</v>
      </c>
      <c r="AD38" s="235"/>
    </row>
    <row r="39" spans="2:30" s="55" customFormat="1">
      <c r="B39" s="64" t="s">
        <v>46</v>
      </c>
      <c r="C39" s="193">
        <f>IF($C$4="通常",(VLOOKUP($B$7,'モンスター　一覧'!$B$4:$O$198,9,FALSE)*性格一覧!$B30*Lv50時の伸び率!T30*0.01)*(VLOOKUP($C$3,ギルド一覧!$B$4:$R$29,6,FALSE)),(VLOOKUP($B$7,'モンスター　一覧'!$B$4:$O$198,9,FALSE)*性格一覧!$B30*Lv50時の伸び率!T30*0.01)*(VLOOKUP($C$3,ギルド一覧!$B$4:$R$29,12,FALSE)))</f>
        <v>335.0943396226416</v>
      </c>
      <c r="D39" s="193">
        <f>IF($C$4="通常",(VLOOKUP($B$7,'モンスター　一覧'!$B$4:$O$198,10,FALSE)*性格一覧!$C30*Lv50時の伸び率!U30*0.01)*(VLOOKUP($C$3,ギルド一覧!$B$4:$R$29,7,FALSE)),(VLOOKUP($B$7,'モンスター　一覧'!$B$4:$O$198,10,FALSE)*性格一覧!$C30*Lv50時の伸び率!U30*0.01)*(VLOOKUP($C$3,ギルド一覧!$B$4:$R$29,13,FALSE)))</f>
        <v>60.15625</v>
      </c>
      <c r="E39" s="193">
        <f>IF($C$4="通常",(VLOOKUP($B$7,'モンスター　一覧'!$B$4:$O$198,11,FALSE)*性格一覧!$D30*Lv50時の伸び率!V30*0.01)*(VLOOKUP($C$3,ギルド一覧!$B$4:$R$29,8,FALSE)),(VLOOKUP($B$7,'モンスター　一覧'!$B$4:$O$198,11,FALSE)*性格一覧!$D30*Lv50時の伸び率!V30*0.01)*(VLOOKUP($C$3,ギルド一覧!$B$4:$R$29,14,FALSE)))</f>
        <v>231.19379844961242</v>
      </c>
      <c r="F39" s="193">
        <f>IF($C$4="通常",(VLOOKUP($B$7,'モンスター　一覧'!$B$4:$O$198,12,FALSE)*性格一覧!$E30*Lv50時の伸び率!W30*0.01)*(VLOOKUP($C$3,ギルド一覧!$B$4:$R$29,9,FALSE)),(VLOOKUP($B$7,'モンスター　一覧'!$B$4:$O$198,12,FALSE)*性格一覧!$E30*Lv50時の伸び率!W30*0.01)*(VLOOKUP($C$3,ギルド一覧!$B$4:$R$29,15,FALSE)))</f>
        <v>43.25454545454545</v>
      </c>
      <c r="G39" s="193">
        <f>IF($C$4="通常",(VLOOKUP($B$7,'モンスター　一覧'!$B$4:$O$198,13,FALSE)*性格一覧!$F30*Lv50時の伸び率!X30*0.01)*(VLOOKUP($C$3,ギルド一覧!$B$4:$R$29,10,FALSE)),(VLOOKUP($B$7,'モンスター　一覧'!$B$4:$O$198,13,FALSE)*性格一覧!$F30*Lv50時の伸び率!X30*0.01)*(VLOOKUP($C$3,ギルド一覧!$B$4:$R$29,16,FALSE)))</f>
        <v>124.55769230769231</v>
      </c>
      <c r="H39" s="201">
        <f>IF($C$4="通常",(VLOOKUP($B$7,'モンスター　一覧'!$B$4:$O$198,14,FALSE)*性格一覧!$G30*Lv50時の伸び率!Y30*0.01)*(VLOOKUP($C$3,ギルド一覧!$B$4:$R$29,11,FALSE)),(VLOOKUP($B$7,'モンスター　一覧'!$B$4:$O$198,14,FALSE)*性格一覧!$G30*Lv50時の伸び率!Y30*0.01)*VLOOKUP($C$3,ギルド一覧!$B$4:$R$29,17,FALSE))</f>
        <v>24.0625</v>
      </c>
      <c r="I39" s="205">
        <f t="shared" si="0"/>
        <v>818.31912583449173</v>
      </c>
      <c r="J39" s="56"/>
      <c r="K39" s="198" t="s">
        <v>46</v>
      </c>
      <c r="L39" s="193">
        <f>IF($L$4="通常",(VLOOKUP($K$7,'モンスター　一覧'!$B$4:$O$198,9,FALSE)*性格一覧!$B30*Lv50時の伸び率!$T30*0.01)*(VLOOKUP($C$3,ギルド一覧!$B$4:$R$29,6,FALSE)),(VLOOKUP($K$7,'モンスター　一覧'!$B$4:$O$198,9,FALSE)*性格一覧!$B30*Lv50時の伸び率!$T30*0.01)*(VLOOKUP($C$3,ギルド一覧!$B$4:$R$29,12,FALSE)))</f>
        <v>223.39622641509436</v>
      </c>
      <c r="M39" s="193">
        <f>IF($L$4="通常",(VLOOKUP($K$7,'モンスター　一覧'!$B$4:$O$198,10,FALSE)*性格一覧!$C30*Lv50時の伸び率!$U30*0.01)*(VLOOKUP($L$3,ギルド一覧!$B$4:$R$29,7,FALSE)),(VLOOKUP($K$7,'モンスター　一覧'!$B$4:$O$198,10,FALSE)*性格一覧!$C30*Lv50時の伸び率!$U30*0.01)*(VLOOKUP($L$3,ギルド一覧!$B$4:$R$29,13,FALSE)))</f>
        <v>103.125</v>
      </c>
      <c r="N39" s="193">
        <f>IF($L$4="通常",(VLOOKUP($K$7,'モンスター　一覧'!$B$4:$O$198,11,FALSE)*性格一覧!$D30*Lv50時の伸び率!$V30*0.01)*(VLOOKUP($L$3,ギルド一覧!$B$4:$R$29,8,FALSE)),(VLOOKUP($K$7,'モンスター　一覧'!$B$4:$O$198,11,FALSE)*性格一覧!$D30*Lv50時の伸び率!$V30*0.01)*(VLOOKUP($C$3,ギルド一覧!$B$4:$R$29,14,FALSE)))</f>
        <v>173.39534883720933</v>
      </c>
      <c r="O39" s="193">
        <f>IF($L$4="通常",(VLOOKUP($K$7,'モンスター　一覧'!$B$4:$O$198,12,FALSE)*性格一覧!$E30*Lv50時の伸び率!$W30*0.01)*(VLOOKUP($L$3,ギルド一覧!$B$4:$R$29,9,FALSE)),(VLOOKUP($K$7,'モンスター　一覧'!$B$4:$O$198,12,FALSE)*性格一覧!$E30*Lv50時の伸び率!$W30*0.01)*(VLOOKUP($L$3,ギルド一覧!$B$4:$R$29,15,FALSE)))</f>
        <v>207.95454545454544</v>
      </c>
      <c r="P39" s="193">
        <f>IF($L$4="通常",(VLOOKUP($K$7,'モンスター　一覧'!$B$4:$O$198,13,FALSE)*性格一覧!$F30*Lv50時の伸び率!$X30*0.01)*(VLOOKUP($L$3,ギルド一覧!$B$4:$R$29,10,FALSE)),(VLOOKUP($K$7,'モンスター　一覧'!$B$4:$O$198,13,FALSE)*性格一覧!$F30*Lv50時の伸び率!$X30*0.01)*(VLOOKUP($L$3,ギルド一覧!$B$4:$R$29,16,FALSE)))</f>
        <v>277.44615384615389</v>
      </c>
      <c r="Q39" s="194">
        <f>IF($L$4="通常",(VLOOKUP($K$7,'モンスター　一覧'!$B$4:$O$198,14,FALSE)*性格一覧!$G30*Lv50時の伸び率!$Y30*0.01)*(VLOOKUP($L$3,ギルド一覧!$B$4:$R$29,11,FALSE)),(VLOOKUP($K$7,'モンスター　一覧'!$B$4:$O$198,14,FALSE)*性格一覧!$G30*Lv50時の伸び率!$Y30*0.01)*VLOOKUP($L$3,ギルド一覧!$B$4:$R$29,17,FALSE))</f>
        <v>137.49999999999997</v>
      </c>
      <c r="R39" s="205">
        <f t="shared" si="1"/>
        <v>1122.817274553003</v>
      </c>
      <c r="T39" s="64" t="s">
        <v>46</v>
      </c>
      <c r="U39" s="193">
        <f>IF($U$4="通常",(VLOOKUP($T$7,'モンスター　一覧'!$B$4:$O$198,9,FALSE)*性格一覧!$B30*Lv50時の伸び率!$T30*0.01)*(VLOOKUP($U$3,ギルド一覧!$B$4:$R$29,6,FALSE)),(VLOOKUP($T$7,'モンスター　一覧'!$B$4:$O$198,9,FALSE)*性格一覧!$B30*Lv50時の伸び率!$T30*0.01)*(VLOOKUP($U$3,ギルド一覧!$B$4:$R$29,12,FALSE)))</f>
        <v>357.43396226415098</v>
      </c>
      <c r="V39" s="193">
        <f>IF($T$4="通常",(VLOOKUP($T$7,'モンスター　一覧'!$B$4:$O$198,10,FALSE)*性格一覧!$C30*Lv50時の伸び率!$U30*0.01)*(VLOOKUP($U$3,ギルド一覧!$B$4:$R$29,7,FALSE)),(VLOOKUP($T$7,'モンスター　一覧'!$B$4:$O$198,10,FALSE)*性格一覧!$C30*Lv50時の伸び率!$U30*0.01)*(VLOOKUP($U$3,ギルド一覧!$B$4:$R$29,13,FALSE)))</f>
        <v>130.62499999999997</v>
      </c>
      <c r="W39" s="193">
        <f>IF($U$4="通常",(VLOOKUP($T$7,'モンスター　一覧'!$B$4:$O$198,11,FALSE)*性格一覧!$D30*Lv50時の伸び率!$V30*0.01)*(VLOOKUP($U$3,ギルド一覧!$B$4:$R$29,8,FALSE)),(VLOOKUP($T$7,'モンスター　一覧'!$B$4:$O$198,11,FALSE)*性格一覧!$D30*Lv50時の伸び率!$V30*0.01)*(VLOOKUP($C$3,ギルド一覧!$B$4:$R$29,14,FALSE)))</f>
        <v>153.52713178294576</v>
      </c>
      <c r="X39" s="193">
        <f>IF($U$4="通常",(VLOOKUP($T$7,'モンスター　一覧'!$B$4:$O$198,12,FALSE)*性格一覧!$E30*Lv50時の伸び率!$W30*0.01)*(VLOOKUP($U$3,ギルド一覧!$B$4:$R$29,9,FALSE)),(VLOOKUP($T$7,'モンスター　一覧'!$B$4:$O$198,12,FALSE)*性格一覧!$E30*Lv50時の伸び率!$W30*0.01)*(VLOOKUP($U$3,ギルド一覧!$B$4:$R$29,15,FALSE)))</f>
        <v>148.06363636363633</v>
      </c>
      <c r="Y39" s="193">
        <f>IF($U$4="通常",(VLOOKUP($T$7,'モンスター　一覧'!$B$4:$O$198,13,FALSE)*性格一覧!$F30*Lv50時の伸び率!$X30*0.01)*(VLOOKUP($U$3,ギルド一覧!$B$4:$R$29,10,FALSE)),(VLOOKUP($T$7,'モンスター　一覧'!$B$4:$O$198,13,FALSE)*性格一覧!$F30*Lv50時の伸び率!$X30*0.01)*(VLOOKUP($U$3,ギルド一覧!$B$4:$R$29,16,FALSE)))</f>
        <v>200.26923076923077</v>
      </c>
      <c r="Z39" s="194">
        <f>IF($U$4="通常",(VLOOKUP($T$7,'モンスター　一覧'!$B$4:$O$198,14,FALSE)*性格一覧!$G30*Lv50時の伸び率!$Y30*0.01)*(VLOOKUP($U$3,ギルド一覧!$B$4:$R$29,11,FALSE)),(VLOOKUP($T$7,'モンスター　一覧'!$B$4:$O$198,14,FALSE)*性格一覧!$G30*Lv50時の伸び率!$Y30*0.01)*VLOOKUP($U$3,ギルド一覧!$B$4:$R$29,17,FALSE))</f>
        <v>218.28125</v>
      </c>
      <c r="AA39" s="205">
        <f t="shared" si="2"/>
        <v>1208.2002111799638</v>
      </c>
      <c r="AC39" s="152" t="s">
        <v>245</v>
      </c>
      <c r="AD39" s="235"/>
    </row>
    <row r="40" spans="2:30" s="55" customFormat="1">
      <c r="B40" s="64" t="s">
        <v>47</v>
      </c>
      <c r="C40" s="193">
        <f>IF($C$4="通常",(VLOOKUP($B$7,'モンスター　一覧'!$B$4:$O$198,9,FALSE)*性格一覧!$B31*Lv50時の伸び率!T31*0.01)*(VLOOKUP($C$3,ギルド一覧!$B$4:$R$29,6,FALSE)),(VLOOKUP($B$7,'モンスター　一覧'!$B$4:$O$198,9,FALSE)*性格一覧!$B31*Lv50時の伸び率!T31*0.01)*(VLOOKUP($C$3,ギルド一覧!$B$4:$R$29,12,FALSE)))</f>
        <v>283.54838709677421</v>
      </c>
      <c r="D40" s="193">
        <f>IF($C$4="通常",(VLOOKUP($B$7,'モンスター　一覧'!$B$4:$O$198,10,FALSE)*性格一覧!$C31*Lv50時の伸び率!U31*0.01)*(VLOOKUP($C$3,ギルド一覧!$B$4:$R$29,7,FALSE)),(VLOOKUP($B$7,'モンスター　一覧'!$B$4:$O$198,10,FALSE)*性格一覧!$C31*Lv50時の伸び率!U31*0.01)*(VLOOKUP($C$3,ギルド一覧!$B$4:$R$29,13,FALSE)))</f>
        <v>79.296874999999986</v>
      </c>
      <c r="E40" s="193">
        <f>IF($C$4="通常",(VLOOKUP($B$7,'モンスター　一覧'!$B$4:$O$198,11,FALSE)*性格一覧!$D31*Lv50時の伸び率!V31*0.01)*(VLOOKUP($C$3,ギルド一覧!$B$4:$R$29,8,FALSE)),(VLOOKUP($B$7,'モンスター　一覧'!$B$4:$O$198,11,FALSE)*性格一覧!$D31*Lv50時の伸び率!V31*0.01)*(VLOOKUP($C$3,ギルド一覧!$B$4:$R$29,14,FALSE)))</f>
        <v>225.28</v>
      </c>
      <c r="F40" s="193">
        <f>IF($C$4="通常",(VLOOKUP($B$7,'モンスター　一覧'!$B$4:$O$198,12,FALSE)*性格一覧!$E31*Lv50時の伸び率!W31*0.01)*(VLOOKUP($C$3,ギルド一覧!$B$4:$R$29,9,FALSE)),(VLOOKUP($B$7,'モンスター　一覧'!$B$4:$O$198,12,FALSE)*性格一覧!$E31*Lv50時の伸び率!W31*0.01)*(VLOOKUP($C$3,ギルド一覧!$B$4:$R$29,15,FALSE)))</f>
        <v>51.054545454545455</v>
      </c>
      <c r="G40" s="193">
        <f>IF($C$4="通常",(VLOOKUP($B$7,'モンスター　一覧'!$B$4:$O$198,13,FALSE)*性格一覧!$F31*Lv50時の伸び率!X31*0.01)*(VLOOKUP($C$3,ギルド一覧!$B$4:$R$29,10,FALSE)),(VLOOKUP($B$7,'モンスター　一覧'!$B$4:$O$198,13,FALSE)*性格一覧!$F31*Lv50時の伸び率!X31*0.01)*(VLOOKUP($C$3,ギルド一覧!$B$4:$R$29,16,FALSE)))</f>
        <v>80.969072164948443</v>
      </c>
      <c r="H40" s="201">
        <f>IF($C$4="通常",(VLOOKUP($B$7,'モンスター　一覧'!$B$4:$O$198,14,FALSE)*性格一覧!$G31*Lv50時の伸び率!Y31*0.01)*(VLOOKUP($C$3,ギルド一覧!$B$4:$R$29,11,FALSE)),(VLOOKUP($B$7,'モンスター　一覧'!$B$4:$O$198,14,FALSE)*性格一覧!$G31*Lv50時の伸び率!Y31*0.01)*VLOOKUP($C$3,ギルド一覧!$B$4:$R$29,17,FALSE))</f>
        <v>26</v>
      </c>
      <c r="I40" s="205">
        <f t="shared" si="0"/>
        <v>746.14887971626808</v>
      </c>
      <c r="J40" s="56"/>
      <c r="K40" s="198" t="s">
        <v>47</v>
      </c>
      <c r="L40" s="193">
        <f>IF($L$4="通常",(VLOOKUP($K$7,'モンスター　一覧'!$B$4:$O$198,9,FALSE)*性格一覧!$B31*Lv50時の伸び率!$T31*0.01)*(VLOOKUP($C$3,ギルド一覧!$B$4:$R$29,6,FALSE)),(VLOOKUP($K$7,'モンスター　一覧'!$B$4:$O$198,9,FALSE)*性格一覧!$B31*Lv50時の伸び率!$T31*0.01)*(VLOOKUP($C$3,ギルド一覧!$B$4:$R$29,12,FALSE)))</f>
        <v>189.03225806451613</v>
      </c>
      <c r="M40" s="193">
        <f>IF($L$4="通常",(VLOOKUP($K$7,'モンスター　一覧'!$B$4:$O$198,10,FALSE)*性格一覧!$C31*Lv50時の伸び率!$U31*0.01)*(VLOOKUP($L$3,ギルド一覧!$B$4:$R$29,7,FALSE)),(VLOOKUP($K$7,'モンスター　一覧'!$B$4:$O$198,10,FALSE)*性格一覧!$C31*Lv50時の伸び率!$U31*0.01)*(VLOOKUP($L$3,ギルド一覧!$B$4:$R$29,13,FALSE)))</f>
        <v>135.93749999999997</v>
      </c>
      <c r="N40" s="193">
        <f>IF($L$4="通常",(VLOOKUP($K$7,'モンスター　一覧'!$B$4:$O$198,11,FALSE)*性格一覧!$D31*Lv50時の伸び率!$V31*0.01)*(VLOOKUP($L$3,ギルド一覧!$B$4:$R$29,8,FALSE)),(VLOOKUP($K$7,'モンスター　一覧'!$B$4:$O$198,11,FALSE)*性格一覧!$D31*Lv50時の伸び率!$V31*0.01)*(VLOOKUP($C$3,ギルド一覧!$B$4:$R$29,14,FALSE)))</f>
        <v>168.96</v>
      </c>
      <c r="O40" s="193">
        <f>IF($L$4="通常",(VLOOKUP($K$7,'モンスター　一覧'!$B$4:$O$198,12,FALSE)*性格一覧!$E31*Lv50時の伸び率!$W31*0.01)*(VLOOKUP($L$3,ギルド一覧!$B$4:$R$29,9,FALSE)),(VLOOKUP($K$7,'モンスター　一覧'!$B$4:$O$198,12,FALSE)*性格一覧!$E31*Lv50時の伸び率!$W31*0.01)*(VLOOKUP($L$3,ギルド一覧!$B$4:$R$29,15,FALSE)))</f>
        <v>245.45454545454544</v>
      </c>
      <c r="P40" s="193">
        <f>IF($L$4="通常",(VLOOKUP($K$7,'モンスター　一覧'!$B$4:$O$198,13,FALSE)*性格一覧!$F31*Lv50時の伸び率!$X31*0.01)*(VLOOKUP($L$3,ギルド一覧!$B$4:$R$29,10,FALSE)),(VLOOKUP($K$7,'モンスター　一覧'!$B$4:$O$198,13,FALSE)*性格一覧!$F31*Lv50時の伸び率!$X31*0.01)*(VLOOKUP($L$3,ギルド一覧!$B$4:$R$29,16,FALSE)))</f>
        <v>180.35463917525774</v>
      </c>
      <c r="Q40" s="194">
        <f>IF($L$4="通常",(VLOOKUP($K$7,'モンスター　一覧'!$B$4:$O$198,14,FALSE)*性格一覧!$G31*Lv50時の伸び率!$Y31*0.01)*(VLOOKUP($L$3,ギルド一覧!$B$4:$R$29,11,FALSE)),(VLOOKUP($K$7,'モンスター　一覧'!$B$4:$O$198,14,FALSE)*性格一覧!$G31*Lv50時の伸び率!$Y31*0.01)*VLOOKUP($L$3,ギルド一覧!$B$4:$R$29,17,FALSE))</f>
        <v>148.57142857142858</v>
      </c>
      <c r="R40" s="205">
        <f t="shared" si="1"/>
        <v>1068.310371265748</v>
      </c>
      <c r="T40" s="64" t="s">
        <v>47</v>
      </c>
      <c r="U40" s="193">
        <f>IF($U$4="通常",(VLOOKUP($T$7,'モンスター　一覧'!$B$4:$O$198,9,FALSE)*性格一覧!$B31*Lv50時の伸び率!$T31*0.01)*(VLOOKUP($U$3,ギルド一覧!$B$4:$R$29,6,FALSE)),(VLOOKUP($T$7,'モンスター　一覧'!$B$4:$O$198,9,FALSE)*性格一覧!$B31*Lv50時の伸び率!$T31*0.01)*(VLOOKUP($U$3,ギルド一覧!$B$4:$R$29,12,FALSE)))</f>
        <v>302.45161290322585</v>
      </c>
      <c r="V40" s="193">
        <f>IF($T$4="通常",(VLOOKUP($T$7,'モンスター　一覧'!$B$4:$O$198,10,FALSE)*性格一覧!$C31*Lv50時の伸び率!$U31*0.01)*(VLOOKUP($U$3,ギルド一覧!$B$4:$R$29,7,FALSE)),(VLOOKUP($T$7,'モンスター　一覧'!$B$4:$O$198,10,FALSE)*性格一覧!$C31*Lv50時の伸び率!$U31*0.01)*(VLOOKUP($U$3,ギルド一覧!$B$4:$R$29,13,FALSE)))</f>
        <v>172.18749999999997</v>
      </c>
      <c r="W40" s="193">
        <f>IF($U$4="通常",(VLOOKUP($T$7,'モンスター　一覧'!$B$4:$O$198,11,FALSE)*性格一覧!$D31*Lv50時の伸び率!$V31*0.01)*(VLOOKUP($U$3,ギルド一覧!$B$4:$R$29,8,FALSE)),(VLOOKUP($T$7,'モンスター　一覧'!$B$4:$O$198,11,FALSE)*性格一覧!$D31*Lv50時の伸び率!$V31*0.01)*(VLOOKUP($C$3,ギルド一覧!$B$4:$R$29,14,FALSE)))</f>
        <v>149.6</v>
      </c>
      <c r="X40" s="193">
        <f>IF($U$4="通常",(VLOOKUP($T$7,'モンスター　一覧'!$B$4:$O$198,12,FALSE)*性格一覧!$E31*Lv50時の伸び率!$W31*0.01)*(VLOOKUP($U$3,ギルド一覧!$B$4:$R$29,9,FALSE)),(VLOOKUP($T$7,'モンスター　一覧'!$B$4:$O$198,12,FALSE)*性格一覧!$E31*Lv50時の伸び率!$W31*0.01)*(VLOOKUP($U$3,ギルド一覧!$B$4:$R$29,15,FALSE)))</f>
        <v>174.76363636363635</v>
      </c>
      <c r="Y40" s="193">
        <f>IF($U$4="通常",(VLOOKUP($T$7,'モンスター　一覧'!$B$4:$O$198,13,FALSE)*性格一覧!$F31*Lv50時の伸び率!$X31*0.01)*(VLOOKUP($U$3,ギルド一覧!$B$4:$R$29,10,FALSE)),(VLOOKUP($T$7,'モンスター　一覧'!$B$4:$O$198,13,FALSE)*性格一覧!$F31*Lv50時の伸び率!$X31*0.01)*(VLOOKUP($U$3,ギルド一覧!$B$4:$R$29,16,FALSE)))</f>
        <v>130.18556701030928</v>
      </c>
      <c r="Z40" s="194">
        <f>IF($U$4="通常",(VLOOKUP($T$7,'モンスター　一覧'!$B$4:$O$198,14,FALSE)*性格一覧!$G31*Lv50時の伸び率!$Y31*0.01)*(VLOOKUP($U$3,ギルド一覧!$B$4:$R$29,11,FALSE)),(VLOOKUP($T$7,'モンスター　一覧'!$B$4:$O$198,14,FALSE)*性格一覧!$G31*Lv50時の伸び率!$Y31*0.01)*VLOOKUP($U$3,ギルド一覧!$B$4:$R$29,17,FALSE))</f>
        <v>235.85714285714286</v>
      </c>
      <c r="AA40" s="205">
        <f t="shared" si="2"/>
        <v>1165.0454591343143</v>
      </c>
      <c r="AC40" s="152" t="s">
        <v>110</v>
      </c>
      <c r="AD40" s="235"/>
    </row>
    <row r="41" spans="2:30" s="55" customFormat="1">
      <c r="B41" s="64" t="s">
        <v>48</v>
      </c>
      <c r="C41" s="193">
        <f>IF($C$4="通常",(VLOOKUP($B$7,'モンスター　一覧'!$B$4:$O$198,9,FALSE)*性格一覧!$B32*Lv50時の伸び率!T32*0.01)*(VLOOKUP($C$3,ギルド一覧!$B$4:$R$29,6,FALSE)),(VLOOKUP($B$7,'モンスター　一覧'!$B$4:$O$198,9,FALSE)*性格一覧!$B32*Lv50時の伸び率!T32*0.01)*(VLOOKUP($C$3,ギルド一覧!$B$4:$R$29,12,FALSE)))</f>
        <v>385.13513513513516</v>
      </c>
      <c r="D41" s="193">
        <f>IF($C$4="通常",(VLOOKUP($B$7,'モンスター　一覧'!$B$4:$O$198,10,FALSE)*性格一覧!$C32*Lv50時の伸び率!U32*0.01)*(VLOOKUP($C$3,ギルド一覧!$B$4:$R$29,7,FALSE)),(VLOOKUP($B$7,'モンスター　一覧'!$B$4:$O$198,10,FALSE)*性格一覧!$C32*Lv50時の伸び率!U32*0.01)*(VLOOKUP($C$3,ギルド一覧!$B$4:$R$29,13,FALSE)))</f>
        <v>66.612903225806448</v>
      </c>
      <c r="E41" s="193">
        <f>IF($C$4="通常",(VLOOKUP($B$7,'モンスター　一覧'!$B$4:$O$198,11,FALSE)*性格一覧!$D32*Lv50時の伸び率!V32*0.01)*(VLOOKUP($C$3,ギルド一覧!$B$4:$R$29,8,FALSE)),(VLOOKUP($B$7,'モンスター　一覧'!$B$4:$O$198,11,FALSE)*性格一覧!$D32*Lv50時の伸び率!V32*0.01)*(VLOOKUP($C$3,ギルド一覧!$B$4:$R$29,14,FALSE)))</f>
        <v>262.2439024390244</v>
      </c>
      <c r="F41" s="193">
        <f>IF($C$4="通常",(VLOOKUP($B$7,'モンスター　一覧'!$B$4:$O$198,12,FALSE)*性格一覧!$E32*Lv50時の伸び率!W32*0.01)*(VLOOKUP($C$3,ギルド一覧!$B$4:$R$29,9,FALSE)),(VLOOKUP($B$7,'モンスター　一覧'!$B$4:$O$198,12,FALSE)*性格一覧!$E32*Lv50時の伸び率!W32*0.01)*(VLOOKUP($C$3,ギルド一覧!$B$4:$R$29,15,FALSE)))</f>
        <v>51.054545454545455</v>
      </c>
      <c r="G41" s="193">
        <f>IF($C$4="通常",(VLOOKUP($B$7,'モンスター　一覧'!$B$4:$O$198,13,FALSE)*性格一覧!$F32*Lv50時の伸び率!X32*0.01)*(VLOOKUP($C$3,ギルド一覧!$B$4:$R$29,10,FALSE)),(VLOOKUP($B$7,'モンスター　一覧'!$B$4:$O$198,13,FALSE)*性格一覧!$F32*Lv50時の伸び率!X32*0.01)*(VLOOKUP($C$3,ギルド一覧!$B$4:$R$29,16,FALSE)))</f>
        <v>61.928571428571431</v>
      </c>
      <c r="H41" s="201">
        <f>IF($C$4="通常",(VLOOKUP($B$7,'モンスター　一覧'!$B$4:$O$198,14,FALSE)*性格一覧!$G32*Lv50時の伸び率!Y32*0.01)*(VLOOKUP($C$3,ギルド一覧!$B$4:$R$29,11,FALSE)),(VLOOKUP($B$7,'モンスター　一覧'!$B$4:$O$198,14,FALSE)*性格一覧!$G32*Lv50時の伸び率!Y32*0.01)*VLOOKUP($C$3,ギルド一覧!$B$4:$R$29,17,FALSE))</f>
        <v>16.969696969696969</v>
      </c>
      <c r="I41" s="205">
        <f t="shared" si="0"/>
        <v>843.94475465277981</v>
      </c>
      <c r="J41" s="56"/>
      <c r="K41" s="198" t="s">
        <v>48</v>
      </c>
      <c r="L41" s="193">
        <f>IF($L$4="通常",(VLOOKUP($K$7,'モンスター　一覧'!$B$4:$O$198,9,FALSE)*性格一覧!$B32*Lv50時の伸び率!$T32*0.01)*(VLOOKUP($C$3,ギルド一覧!$B$4:$R$29,6,FALSE)),(VLOOKUP($K$7,'モンスター　一覧'!$B$4:$O$198,9,FALSE)*性格一覧!$B32*Lv50時の伸び率!$T32*0.01)*(VLOOKUP($C$3,ギルド一覧!$B$4:$R$29,12,FALSE)))</f>
        <v>256.75675675675677</v>
      </c>
      <c r="M41" s="193">
        <f>IF($L$4="通常",(VLOOKUP($K$7,'モンスター　一覧'!$B$4:$O$198,10,FALSE)*性格一覧!$C32*Lv50時の伸び率!$U32*0.01)*(VLOOKUP($L$3,ギルド一覧!$B$4:$R$29,7,FALSE)),(VLOOKUP($K$7,'モンスター　一覧'!$B$4:$O$198,10,FALSE)*性格一覧!$C32*Lv50時の伸び率!$U32*0.01)*(VLOOKUP($L$3,ギルド一覧!$B$4:$R$29,13,FALSE)))</f>
        <v>114.19354838709677</v>
      </c>
      <c r="N41" s="193">
        <f>IF($L$4="通常",(VLOOKUP($K$7,'モンスター　一覧'!$B$4:$O$198,11,FALSE)*性格一覧!$D32*Lv50時の伸び率!$V32*0.01)*(VLOOKUP($L$3,ギルド一覧!$B$4:$R$29,8,FALSE)),(VLOOKUP($K$7,'モンスター　一覧'!$B$4:$O$198,11,FALSE)*性格一覧!$D32*Lv50時の伸び率!$V32*0.01)*(VLOOKUP($C$3,ギルド一覧!$B$4:$R$29,14,FALSE)))</f>
        <v>196.6829268292683</v>
      </c>
      <c r="O41" s="193">
        <f>IF($L$4="通常",(VLOOKUP($K$7,'モンスター　一覧'!$B$4:$O$198,12,FALSE)*性格一覧!$E32*Lv50時の伸び率!$W32*0.01)*(VLOOKUP($L$3,ギルド一覧!$B$4:$R$29,9,FALSE)),(VLOOKUP($K$7,'モンスター　一覧'!$B$4:$O$198,12,FALSE)*性格一覧!$E32*Lv50時の伸び率!$W32*0.01)*(VLOOKUP($L$3,ギルド一覧!$B$4:$R$29,15,FALSE)))</f>
        <v>245.45454545454544</v>
      </c>
      <c r="P41" s="193">
        <f>IF($L$4="通常",(VLOOKUP($K$7,'モンスター　一覧'!$B$4:$O$198,13,FALSE)*性格一覧!$F32*Lv50時の伸び率!$X32*0.01)*(VLOOKUP($L$3,ギルド一覧!$B$4:$R$29,10,FALSE)),(VLOOKUP($K$7,'モンスター　一覧'!$B$4:$O$198,13,FALSE)*性格一覧!$F32*Lv50時の伸び率!$X32*0.01)*(VLOOKUP($L$3,ギルド一覧!$B$4:$R$29,16,FALSE)))</f>
        <v>137.94285714285715</v>
      </c>
      <c r="Q41" s="194">
        <f>IF($L$4="通常",(VLOOKUP($K$7,'モンスター　一覧'!$B$4:$O$198,14,FALSE)*性格一覧!$G32*Lv50時の伸び率!$Y32*0.01)*(VLOOKUP($L$3,ギルド一覧!$B$4:$R$29,11,FALSE)),(VLOOKUP($K$7,'モンスター　一覧'!$B$4:$O$198,14,FALSE)*性格一覧!$G32*Lv50時の伸び率!$Y32*0.01)*VLOOKUP($L$3,ギルド一覧!$B$4:$R$29,17,FALSE))</f>
        <v>96.969696969696969</v>
      </c>
      <c r="R41" s="205">
        <f t="shared" si="1"/>
        <v>1048.0003315402214</v>
      </c>
      <c r="T41" s="64" t="s">
        <v>48</v>
      </c>
      <c r="U41" s="193">
        <f>IF($U$4="通常",(VLOOKUP($T$7,'モンスター　一覧'!$B$4:$O$198,9,FALSE)*性格一覧!$B32*Lv50時の伸び率!$T32*0.01)*(VLOOKUP($U$3,ギルド一覧!$B$4:$R$29,6,FALSE)),(VLOOKUP($T$7,'モンスター　一覧'!$B$4:$O$198,9,FALSE)*性格一覧!$B32*Lv50時の伸び率!$T32*0.01)*(VLOOKUP($U$3,ギルド一覧!$B$4:$R$29,12,FALSE)))</f>
        <v>410.81081081081084</v>
      </c>
      <c r="V41" s="193">
        <f>IF($T$4="通常",(VLOOKUP($T$7,'モンスター　一覧'!$B$4:$O$198,10,FALSE)*性格一覧!$C32*Lv50時の伸び率!$U32*0.01)*(VLOOKUP($U$3,ギルド一覧!$B$4:$R$29,7,FALSE)),(VLOOKUP($T$7,'モンスター　一覧'!$B$4:$O$198,10,FALSE)*性格一覧!$C32*Lv50時の伸び率!$U32*0.01)*(VLOOKUP($U$3,ギルド一覧!$B$4:$R$29,13,FALSE)))</f>
        <v>144.64516129032259</v>
      </c>
      <c r="W41" s="193">
        <f>IF($U$4="通常",(VLOOKUP($T$7,'モンスター　一覧'!$B$4:$O$198,11,FALSE)*性格一覧!$D32*Lv50時の伸び率!$V32*0.01)*(VLOOKUP($U$3,ギルド一覧!$B$4:$R$29,8,FALSE)),(VLOOKUP($T$7,'モンスター　一覧'!$B$4:$O$198,11,FALSE)*性格一覧!$D32*Lv50時の伸び率!$V32*0.01)*(VLOOKUP($C$3,ギルド一覧!$B$4:$R$29,14,FALSE)))</f>
        <v>174.14634146341464</v>
      </c>
      <c r="X41" s="193">
        <f>IF($U$4="通常",(VLOOKUP($T$7,'モンスター　一覧'!$B$4:$O$198,12,FALSE)*性格一覧!$E32*Lv50時の伸び率!$W32*0.01)*(VLOOKUP($U$3,ギルド一覧!$B$4:$R$29,9,FALSE)),(VLOOKUP($T$7,'モンスター　一覧'!$B$4:$O$198,12,FALSE)*性格一覧!$E32*Lv50時の伸び率!$W32*0.01)*(VLOOKUP($U$3,ギルド一覧!$B$4:$R$29,15,FALSE)))</f>
        <v>174.76363636363635</v>
      </c>
      <c r="Y41" s="193">
        <f>IF($U$4="通常",(VLOOKUP($T$7,'モンスター　一覧'!$B$4:$O$198,13,FALSE)*性格一覧!$F32*Lv50時の伸び率!$X32*0.01)*(VLOOKUP($U$3,ギルド一覧!$B$4:$R$29,10,FALSE)),(VLOOKUP($T$7,'モンスター　一覧'!$B$4:$O$198,13,FALSE)*性格一覧!$F32*Lv50時の伸び率!$X32*0.01)*(VLOOKUP($U$3,ギルド一覧!$B$4:$R$29,16,FALSE)))</f>
        <v>99.571428571428569</v>
      </c>
      <c r="Z41" s="194">
        <f>IF($U$4="通常",(VLOOKUP($T$7,'モンスター　一覧'!$B$4:$O$198,14,FALSE)*性格一覧!$G32*Lv50時の伸び率!$Y32*0.01)*(VLOOKUP($U$3,ギルド一覧!$B$4:$R$29,11,FALSE)),(VLOOKUP($T$7,'モンスター　一覧'!$B$4:$O$198,14,FALSE)*性格一覧!$G32*Lv50時の伸び率!$Y32*0.01)*VLOOKUP($U$3,ギルド一覧!$B$4:$R$29,17,FALSE))</f>
        <v>153.93939393939394</v>
      </c>
      <c r="AA41" s="205">
        <f t="shared" si="2"/>
        <v>1157.8767724390068</v>
      </c>
      <c r="AC41" s="152" t="s">
        <v>809</v>
      </c>
      <c r="AD41" s="235"/>
    </row>
    <row r="42" spans="2:30" s="55" customFormat="1">
      <c r="B42" s="64" t="s">
        <v>50</v>
      </c>
      <c r="C42" s="193">
        <f>IF($C$4="通常",(VLOOKUP($B$7,'モンスター　一覧'!$B$4:$O$198,9,FALSE)*性格一覧!$B33*Lv50時の伸び率!T33*0.01)*(VLOOKUP($C$3,ギルド一覧!$B$4:$R$29,6,FALSE)),(VLOOKUP($B$7,'モンスター　一覧'!$B$4:$O$198,9,FALSE)*性格一覧!$B33*Lv50時の伸び率!T33*0.01)*(VLOOKUP($C$3,ギルド一覧!$B$4:$R$29,12,FALSE)))</f>
        <v>257.83783783783781</v>
      </c>
      <c r="D42" s="193">
        <f>IF($C$4="通常",(VLOOKUP($B$7,'モンスター　一覧'!$B$4:$O$198,10,FALSE)*性格一覧!$C33*Lv50時の伸び率!U33*0.01)*(VLOOKUP($C$3,ギルド一覧!$B$4:$R$29,7,FALSE)),(VLOOKUP($B$7,'モンスター　一覧'!$B$4:$O$198,10,FALSE)*性格一覧!$C33*Lv50時の伸び率!U33*0.01)*(VLOOKUP($C$3,ギルド一覧!$B$4:$R$29,13,FALSE)))</f>
        <v>60.967741935483865</v>
      </c>
      <c r="E42" s="193">
        <f>IF($C$4="通常",(VLOOKUP($B$7,'モンスター　一覧'!$B$4:$O$198,11,FALSE)*性格一覧!$D33*Lv50時の伸び率!V33*0.01)*(VLOOKUP($C$3,ギルド一覧!$B$4:$R$29,8,FALSE)),(VLOOKUP($B$7,'モンスター　一覧'!$B$4:$O$198,11,FALSE)*性格一覧!$D33*Lv50時の伸び率!V33*0.01)*(VLOOKUP($C$3,ギルド一覧!$B$4:$R$29,14,FALSE)))</f>
        <v>213.33333333333337</v>
      </c>
      <c r="F42" s="193">
        <f>IF($C$4="通常",(VLOOKUP($B$7,'モンスター　一覧'!$B$4:$O$198,12,FALSE)*性格一覧!$E33*Lv50時の伸び率!W33*0.01)*(VLOOKUP($C$3,ギルド一覧!$B$4:$R$29,9,FALSE)),(VLOOKUP($B$7,'モンスター　一覧'!$B$4:$O$198,12,FALSE)*性格一覧!$E33*Lv50時の伸び率!W33*0.01)*(VLOOKUP($C$3,ギルド一覧!$B$4:$R$29,15,FALSE)))</f>
        <v>44.672727272727279</v>
      </c>
      <c r="G42" s="193">
        <f>IF($C$4="通常",(VLOOKUP($B$7,'モンスター　一覧'!$B$4:$O$198,13,FALSE)*性格一覧!$F33*Lv50時の伸び率!X33*0.01)*(VLOOKUP($C$3,ギルド一覧!$B$4:$R$29,10,FALSE)),(VLOOKUP($B$7,'モンスター　一覧'!$B$4:$O$198,13,FALSE)*性格一覧!$F33*Lv50時の伸び率!X33*0.01)*(VLOOKUP($C$3,ギルド一覧!$B$4:$R$29,16,FALSE)))</f>
        <v>95.625</v>
      </c>
      <c r="H42" s="201">
        <f>IF($C$4="通常",(VLOOKUP($B$7,'モンスター　一覧'!$B$4:$O$198,14,FALSE)*性格一覧!$G33*Lv50時の伸び率!Y33*0.01)*(VLOOKUP($C$3,ギルド一覧!$B$4:$R$29,11,FALSE)),(VLOOKUP($B$7,'モンスター　一覧'!$B$4:$O$198,14,FALSE)*性格一覧!$G33*Lv50時の伸び率!Y33*0.01)*VLOOKUP($C$3,ギルド一覧!$B$4:$R$29,17,FALSE))</f>
        <v>29.696969696969699</v>
      </c>
      <c r="I42" s="205">
        <f t="shared" si="0"/>
        <v>702.13361007635206</v>
      </c>
      <c r="J42" s="56"/>
      <c r="K42" s="198" t="s">
        <v>50</v>
      </c>
      <c r="L42" s="193">
        <f>IF($L$4="通常",(VLOOKUP($K$7,'モンスター　一覧'!$B$4:$O$198,9,FALSE)*性格一覧!$B33*Lv50時の伸び率!$T33*0.01)*(VLOOKUP($C$3,ギルド一覧!$B$4:$R$29,6,FALSE)),(VLOOKUP($K$7,'モンスター　一覧'!$B$4:$O$198,9,FALSE)*性格一覧!$B33*Lv50時の伸び率!$T33*0.01)*(VLOOKUP($C$3,ギルド一覧!$B$4:$R$29,12,FALSE)))</f>
        <v>171.8918918918919</v>
      </c>
      <c r="M42" s="193">
        <f>IF($L$4="通常",(VLOOKUP($K$7,'モンスター　一覧'!$B$4:$O$198,10,FALSE)*性格一覧!$C33*Lv50時の伸び率!$U33*0.01)*(VLOOKUP($L$3,ギルド一覧!$B$4:$R$29,7,FALSE)),(VLOOKUP($K$7,'モンスター　一覧'!$B$4:$O$198,10,FALSE)*性格一覧!$C33*Lv50時の伸び率!$U33*0.01)*(VLOOKUP($L$3,ギルド一覧!$B$4:$R$29,13,FALSE)))</f>
        <v>104.51612903225805</v>
      </c>
      <c r="N42" s="193">
        <f>IF($L$4="通常",(VLOOKUP($K$7,'モンスター　一覧'!$B$4:$O$198,11,FALSE)*性格一覧!$D33*Lv50時の伸び率!$V33*0.01)*(VLOOKUP($L$3,ギルド一覧!$B$4:$R$29,8,FALSE)),(VLOOKUP($K$7,'モンスター　一覧'!$B$4:$O$198,11,FALSE)*性格一覧!$D33*Lv50時の伸び率!$V33*0.01)*(VLOOKUP($C$3,ギルド一覧!$B$4:$R$29,14,FALSE)))</f>
        <v>160</v>
      </c>
      <c r="O42" s="193">
        <f>IF($L$4="通常",(VLOOKUP($K$7,'モンスター　一覧'!$B$4:$O$198,12,FALSE)*性格一覧!$E33*Lv50時の伸び率!$W33*0.01)*(VLOOKUP($L$3,ギルド一覧!$B$4:$R$29,9,FALSE)),(VLOOKUP($K$7,'モンスター　一覧'!$B$4:$O$198,12,FALSE)*性格一覧!$E33*Lv50時の伸び率!$W33*0.01)*(VLOOKUP($L$3,ギルド一覧!$B$4:$R$29,15,FALSE)))</f>
        <v>214.77272727272728</v>
      </c>
      <c r="P42" s="193">
        <f>IF($L$4="通常",(VLOOKUP($K$7,'モンスター　一覧'!$B$4:$O$198,13,FALSE)*性格一覧!$F33*Lv50時の伸び率!$X33*0.01)*(VLOOKUP($L$3,ギルド一覧!$B$4:$R$29,10,FALSE)),(VLOOKUP($K$7,'モンスター　一覧'!$B$4:$O$198,13,FALSE)*性格一覧!$F33*Lv50時の伸び率!$X33*0.01)*(VLOOKUP($L$3,ギルド一覧!$B$4:$R$29,16,FALSE)))</f>
        <v>213</v>
      </c>
      <c r="Q42" s="194">
        <f>IF($L$4="通常",(VLOOKUP($K$7,'モンスター　一覧'!$B$4:$O$198,14,FALSE)*性格一覧!$G33*Lv50時の伸び率!$Y33*0.01)*(VLOOKUP($L$3,ギルド一覧!$B$4:$R$29,11,FALSE)),(VLOOKUP($K$7,'モンスター　一覧'!$B$4:$O$198,14,FALSE)*性格一覧!$G33*Lv50時の伸び率!$Y33*0.01)*VLOOKUP($L$3,ギルド一覧!$B$4:$R$29,17,FALSE))</f>
        <v>169.69696969696972</v>
      </c>
      <c r="R42" s="205">
        <f t="shared" si="1"/>
        <v>1033.8777178938469</v>
      </c>
      <c r="T42" s="64" t="s">
        <v>50</v>
      </c>
      <c r="U42" s="193">
        <f>IF($U$4="通常",(VLOOKUP($T$7,'モンスター　一覧'!$B$4:$O$198,9,FALSE)*性格一覧!$B33*Lv50時の伸び率!$T33*0.01)*(VLOOKUP($U$3,ギルド一覧!$B$4:$R$29,6,FALSE)),(VLOOKUP($T$7,'モンスター　一覧'!$B$4:$O$198,9,FALSE)*性格一覧!$B33*Lv50時の伸び率!$T33*0.01)*(VLOOKUP($U$3,ギルド一覧!$B$4:$R$29,12,FALSE)))</f>
        <v>275.02702702702703</v>
      </c>
      <c r="V42" s="193">
        <f>IF($T$4="通常",(VLOOKUP($T$7,'モンスター　一覧'!$B$4:$O$198,10,FALSE)*性格一覧!$C33*Lv50時の伸び率!$U33*0.01)*(VLOOKUP($U$3,ギルド一覧!$B$4:$R$29,7,FALSE)),(VLOOKUP($T$7,'モンスター　一覧'!$B$4:$O$198,10,FALSE)*性格一覧!$C33*Lv50時の伸び率!$U33*0.01)*(VLOOKUP($U$3,ギルド一覧!$B$4:$R$29,13,FALSE)))</f>
        <v>132.38709677419354</v>
      </c>
      <c r="W42" s="193">
        <f>IF($U$4="通常",(VLOOKUP($T$7,'モンスター　一覧'!$B$4:$O$198,11,FALSE)*性格一覧!$D33*Lv50時の伸び率!$V33*0.01)*(VLOOKUP($U$3,ギルド一覧!$B$4:$R$29,8,FALSE)),(VLOOKUP($T$7,'モンスター　一覧'!$B$4:$O$198,11,FALSE)*性格一覧!$D33*Lv50時の伸び率!$V33*0.01)*(VLOOKUP($C$3,ギルド一覧!$B$4:$R$29,14,FALSE)))</f>
        <v>141.66666666666669</v>
      </c>
      <c r="X42" s="193">
        <f>IF($U$4="通常",(VLOOKUP($T$7,'モンスター　一覧'!$B$4:$O$198,12,FALSE)*性格一覧!$E33*Lv50時の伸び率!$W33*0.01)*(VLOOKUP($U$3,ギルド一覧!$B$4:$R$29,9,FALSE)),(VLOOKUP($T$7,'モンスター　一覧'!$B$4:$O$198,12,FALSE)*性格一覧!$E33*Lv50時の伸び率!$W33*0.01)*(VLOOKUP($U$3,ギルド一覧!$B$4:$R$29,15,FALSE)))</f>
        <v>152.91818181818184</v>
      </c>
      <c r="Y42" s="193">
        <f>IF($U$4="通常",(VLOOKUP($T$7,'モンスター　一覧'!$B$4:$O$198,13,FALSE)*性格一覧!$F33*Lv50時の伸び率!$X33*0.01)*(VLOOKUP($U$3,ギルド一覧!$B$4:$R$29,10,FALSE)),(VLOOKUP($T$7,'モンスター　一覧'!$B$4:$O$198,13,FALSE)*性格一覧!$F33*Lv50時の伸び率!$X33*0.01)*(VLOOKUP($U$3,ギルド一覧!$B$4:$R$29,16,FALSE)))</f>
        <v>153.75</v>
      </c>
      <c r="Z42" s="194">
        <f>IF($U$4="通常",(VLOOKUP($T$7,'モンスター　一覧'!$B$4:$O$198,14,FALSE)*性格一覧!$G33*Lv50時の伸び率!$Y33*0.01)*(VLOOKUP($U$3,ギルド一覧!$B$4:$R$29,11,FALSE)),(VLOOKUP($T$7,'モンスター　一覧'!$B$4:$O$198,14,FALSE)*性格一覧!$G33*Lv50時の伸び率!$Y33*0.01)*VLOOKUP($U$3,ギルド一覧!$B$4:$R$29,17,FALSE))</f>
        <v>269.39393939393938</v>
      </c>
      <c r="AA42" s="205">
        <f t="shared" si="2"/>
        <v>1125.1429116800086</v>
      </c>
      <c r="AC42" s="152" t="s">
        <v>214</v>
      </c>
      <c r="AD42" s="235"/>
    </row>
    <row r="43" spans="2:30" s="55" customFormat="1">
      <c r="B43" s="64" t="s">
        <v>51</v>
      </c>
      <c r="C43" s="193">
        <f>IF($C$4="通常",(VLOOKUP($B$7,'モンスター　一覧'!$B$4:$O$198,9,FALSE)*性格一覧!$B34*Lv50時の伸び率!T34*0.01)*(VLOOKUP($C$3,ギルド一覧!$B$4:$R$29,6,FALSE)),(VLOOKUP($B$7,'モンスター　一覧'!$B$4:$O$198,9,FALSE)*性格一覧!$B34*Lv50時の伸び率!T34*0.01)*(VLOOKUP($C$3,ギルド一覧!$B$4:$R$29,12,FALSE)))</f>
        <v>381.50943396226415</v>
      </c>
      <c r="D43" s="193">
        <f>IF($C$4="通常",(VLOOKUP($B$7,'モンスター　一覧'!$B$4:$O$198,10,FALSE)*性格一覧!$C34*Lv50時の伸び率!U34*0.01)*(VLOOKUP($C$3,ギルド一覧!$B$4:$R$29,7,FALSE)),(VLOOKUP($B$7,'モンスター　一覧'!$B$4:$O$198,10,FALSE)*性格一覧!$C34*Lv50時の伸び率!U34*0.01)*(VLOOKUP($C$3,ギルド一覧!$B$4:$R$29,13,FALSE)))</f>
        <v>42.65625</v>
      </c>
      <c r="E43" s="193">
        <f>IF($C$4="通常",(VLOOKUP($B$7,'モンスター　一覧'!$B$4:$O$198,11,FALSE)*性格一覧!$D34*Lv50時の伸び率!V34*0.01)*(VLOOKUP($C$3,ギルド一覧!$B$4:$R$29,8,FALSE)),(VLOOKUP($B$7,'モンスター　一覧'!$B$4:$O$198,11,FALSE)*性格一覧!$D34*Lv50時の伸び率!V34*0.01)*(VLOOKUP($C$3,ギルド一覧!$B$4:$R$29,14,FALSE)))</f>
        <v>247.06976744186048</v>
      </c>
      <c r="F43" s="193">
        <f>IF($C$4="通常",(VLOOKUP($B$7,'モンスター　一覧'!$B$4:$O$198,12,FALSE)*性格一覧!$E34*Lv50時の伸び率!W34*0.01)*(VLOOKUP($C$3,ギルド一覧!$B$4:$R$29,9,FALSE)),(VLOOKUP($B$7,'モンスター　一覧'!$B$4:$O$198,12,FALSE)*性格一覧!$E34*Lv50時の伸び率!W34*0.01)*(VLOOKUP($C$3,ギルド一覧!$B$4:$R$29,15,FALSE)))</f>
        <v>44.672727272727272</v>
      </c>
      <c r="G43" s="193">
        <f>IF($C$4="通常",(VLOOKUP($B$7,'モンスター　一覧'!$B$4:$O$198,13,FALSE)*性格一覧!$F34*Lv50時の伸び率!X34*0.01)*(VLOOKUP($C$3,ギルド一覧!$B$4:$R$29,10,FALSE)),(VLOOKUP($B$7,'モンスター　一覧'!$B$4:$O$198,13,FALSE)*性格一覧!$F34*Lv50時の伸び率!X34*0.01)*(VLOOKUP($C$3,ギルド一覧!$B$4:$R$29,16,FALSE)))</f>
        <v>88.269230769230759</v>
      </c>
      <c r="H43" s="201">
        <f>IF($C$4="通常",(VLOOKUP($B$7,'モンスター　一覧'!$B$4:$O$198,14,FALSE)*性格一覧!$G34*Lv50時の伸び率!Y34*0.01)*(VLOOKUP($C$3,ギルド一覧!$B$4:$R$29,11,FALSE)),(VLOOKUP($B$7,'モンスター　一覧'!$B$4:$O$198,14,FALSE)*性格一覧!$G34*Lv50時の伸び率!Y34*0.01)*VLOOKUP($C$3,ギルド一覧!$B$4:$R$29,17,FALSE))</f>
        <v>22.09375</v>
      </c>
      <c r="I43" s="205">
        <f t="shared" si="0"/>
        <v>826.27115944608261</v>
      </c>
      <c r="J43" s="56"/>
      <c r="K43" s="198" t="s">
        <v>51</v>
      </c>
      <c r="L43" s="193">
        <f>IF($L$4="通常",(VLOOKUP($K$7,'モンスター　一覧'!$B$4:$O$198,9,FALSE)*性格一覧!$B34*Lv50時の伸び率!$T34*0.01)*(VLOOKUP($C$3,ギルド一覧!$B$4:$R$29,6,FALSE)),(VLOOKUP($K$7,'モンスター　一覧'!$B$4:$O$198,9,FALSE)*性格一覧!$B34*Lv50時の伸び率!$T34*0.01)*(VLOOKUP($C$3,ギルド一覧!$B$4:$R$29,12,FALSE)))</f>
        <v>254.33962264150941</v>
      </c>
      <c r="M43" s="193">
        <f>IF($L$4="通常",(VLOOKUP($K$7,'モンスター　一覧'!$B$4:$O$198,10,FALSE)*性格一覧!$C34*Lv50時の伸び率!$U34*0.01)*(VLOOKUP($L$3,ギルド一覧!$B$4:$R$29,7,FALSE)),(VLOOKUP($K$7,'モンスター　一覧'!$B$4:$O$198,10,FALSE)*性格一覧!$C34*Lv50時の伸び率!$U34*0.01)*(VLOOKUP($L$3,ギルド一覧!$B$4:$R$29,13,FALSE)))</f>
        <v>73.125</v>
      </c>
      <c r="N43" s="193">
        <f>IF($L$4="通常",(VLOOKUP($K$7,'モンスター　一覧'!$B$4:$O$198,11,FALSE)*性格一覧!$D34*Lv50時の伸び率!$V34*0.01)*(VLOOKUP($L$3,ギルド一覧!$B$4:$R$29,8,FALSE)),(VLOOKUP($K$7,'モンスター　一覧'!$B$4:$O$198,11,FALSE)*性格一覧!$D34*Lv50時の伸び率!$V34*0.01)*(VLOOKUP($C$3,ギルド一覧!$B$4:$R$29,14,FALSE)))</f>
        <v>185.30232558139534</v>
      </c>
      <c r="O43" s="193">
        <f>IF($L$4="通常",(VLOOKUP($K$7,'モンスター　一覧'!$B$4:$O$198,12,FALSE)*性格一覧!$E34*Lv50時の伸び率!$W34*0.01)*(VLOOKUP($L$3,ギルド一覧!$B$4:$R$29,9,FALSE)),(VLOOKUP($K$7,'モンスター　一覧'!$B$4:$O$198,12,FALSE)*性格一覧!$E34*Lv50時の伸び率!$W34*0.01)*(VLOOKUP($L$3,ギルド一覧!$B$4:$R$29,15,FALSE)))</f>
        <v>214.77272727272725</v>
      </c>
      <c r="P43" s="193">
        <f>IF($L$4="通常",(VLOOKUP($K$7,'モンスター　一覧'!$B$4:$O$198,13,FALSE)*性格一覧!$F34*Lv50時の伸び率!$X34*0.01)*(VLOOKUP($L$3,ギルド一覧!$B$4:$R$29,10,FALSE)),(VLOOKUP($K$7,'モンスター　一覧'!$B$4:$O$198,13,FALSE)*性格一覧!$F34*Lv50時の伸び率!$X34*0.01)*(VLOOKUP($L$3,ギルド一覧!$B$4:$R$29,16,FALSE)))</f>
        <v>196.61538461538461</v>
      </c>
      <c r="Q43" s="194">
        <f>IF($L$4="通常",(VLOOKUP($K$7,'モンスター　一覧'!$B$4:$O$198,14,FALSE)*性格一覧!$G34*Lv50時の伸び率!$Y34*0.01)*(VLOOKUP($L$3,ギルド一覧!$B$4:$R$29,11,FALSE)),(VLOOKUP($K$7,'モンスター　一覧'!$B$4:$O$198,14,FALSE)*性格一覧!$G34*Lv50時の伸び率!$Y34*0.01)*VLOOKUP($L$3,ギルド一覧!$B$4:$R$29,17,FALSE))</f>
        <v>126.25000000000001</v>
      </c>
      <c r="R43" s="205">
        <f t="shared" si="1"/>
        <v>1050.4050601110168</v>
      </c>
      <c r="T43" s="64" t="s">
        <v>51</v>
      </c>
      <c r="U43" s="193">
        <f>IF($U$4="通常",(VLOOKUP($T$7,'モンスター　一覧'!$B$4:$O$198,9,FALSE)*性格一覧!$B34*Lv50時の伸び率!$T34*0.01)*(VLOOKUP($U$3,ギルド一覧!$B$4:$R$29,6,FALSE)),(VLOOKUP($T$7,'モンスター　一覧'!$B$4:$O$198,9,FALSE)*性格一覧!$B34*Lv50時の伸び率!$T34*0.01)*(VLOOKUP($U$3,ギルド一覧!$B$4:$R$29,12,FALSE)))</f>
        <v>406.94339622641508</v>
      </c>
      <c r="V43" s="193">
        <f>IF($T$4="通常",(VLOOKUP($T$7,'モンスター　一覧'!$B$4:$O$198,10,FALSE)*性格一覧!$C34*Lv50時の伸び率!$U34*0.01)*(VLOOKUP($U$3,ギルド一覧!$B$4:$R$29,7,FALSE)),(VLOOKUP($T$7,'モンスター　一覧'!$B$4:$O$198,10,FALSE)*性格一覧!$C34*Lv50時の伸び率!$U34*0.01)*(VLOOKUP($U$3,ギルド一覧!$B$4:$R$29,13,FALSE)))</f>
        <v>92.625</v>
      </c>
      <c r="W43" s="193">
        <f>IF($U$4="通常",(VLOOKUP($T$7,'モンスター　一覧'!$B$4:$O$198,11,FALSE)*性格一覧!$D34*Lv50時の伸び率!$V34*0.01)*(VLOOKUP($U$3,ギルド一覧!$B$4:$R$29,8,FALSE)),(VLOOKUP($T$7,'モンスター　一覧'!$B$4:$O$198,11,FALSE)*性格一覧!$D34*Lv50時の伸び率!$V34*0.01)*(VLOOKUP($C$3,ギルド一覧!$B$4:$R$29,14,FALSE)))</f>
        <v>164.06976744186045</v>
      </c>
      <c r="X43" s="193">
        <f>IF($U$4="通常",(VLOOKUP($T$7,'モンスター　一覧'!$B$4:$O$198,12,FALSE)*性格一覧!$E34*Lv50時の伸び率!$W34*0.01)*(VLOOKUP($U$3,ギルド一覧!$B$4:$R$29,9,FALSE)),(VLOOKUP($T$7,'モンスター　一覧'!$B$4:$O$198,12,FALSE)*性格一覧!$E34*Lv50時の伸び率!$W34*0.01)*(VLOOKUP($U$3,ギルド一覧!$B$4:$R$29,15,FALSE)))</f>
        <v>152.91818181818181</v>
      </c>
      <c r="Y43" s="193">
        <f>IF($U$4="通常",(VLOOKUP($T$7,'モンスター　一覧'!$B$4:$O$198,13,FALSE)*性格一覧!$F34*Lv50時の伸び率!$X34*0.01)*(VLOOKUP($U$3,ギルド一覧!$B$4:$R$29,10,FALSE)),(VLOOKUP($T$7,'モンスター　一覧'!$B$4:$O$198,13,FALSE)*性格一覧!$F34*Lv50時の伸び率!$X34*0.01)*(VLOOKUP($U$3,ギルド一覧!$B$4:$R$29,16,FALSE)))</f>
        <v>141.92307692307691</v>
      </c>
      <c r="Z43" s="194">
        <f>IF($U$4="通常",(VLOOKUP($T$7,'モンスター　一覧'!$B$4:$O$198,14,FALSE)*性格一覧!$G34*Lv50時の伸び率!$Y34*0.01)*(VLOOKUP($U$3,ギルド一覧!$B$4:$R$29,11,FALSE)),(VLOOKUP($T$7,'モンスター　一覧'!$B$4:$O$198,14,FALSE)*性格一覧!$G34*Lv50時の伸び率!$Y34*0.01)*VLOOKUP($U$3,ギルド一覧!$B$4:$R$29,17,FALSE))</f>
        <v>200.421875</v>
      </c>
      <c r="AA43" s="205">
        <f t="shared" si="2"/>
        <v>1158.9012974095342</v>
      </c>
      <c r="AC43" s="152" t="s">
        <v>163</v>
      </c>
      <c r="AD43" s="235"/>
    </row>
    <row r="44" spans="2:30" s="55" customFormat="1" ht="12">
      <c r="B44" s="64" t="s">
        <v>52</v>
      </c>
      <c r="C44" s="193">
        <f>IF($C$4="通常",(VLOOKUP($B$7,'モンスター　一覧'!$B$4:$O$198,9,FALSE)*性格一覧!$B35*Lv50時の伸び率!T35*0.01)*(VLOOKUP($C$3,ギルド一覧!$B$4:$R$29,6,FALSE)),(VLOOKUP($B$7,'モンスター　一覧'!$B$4:$O$198,9,FALSE)*性格一覧!$B35*Lv50時の伸び率!T35*0.01)*(VLOOKUP($C$3,ギルド一覧!$B$4:$R$29,12,FALSE)))</f>
        <v>359.99999999999994</v>
      </c>
      <c r="D44" s="193">
        <f>IF($C$4="通常",(VLOOKUP($B$7,'モンスター　一覧'!$B$4:$O$198,10,FALSE)*性格一覧!$C35*Lv50時の伸び率!U35*0.01)*(VLOOKUP($C$3,ギルド一覧!$B$4:$R$29,7,FALSE)),(VLOOKUP($B$7,'モンスター　一覧'!$B$4:$O$198,10,FALSE)*性格一覧!$C35*Lv50時の伸び率!U35*0.01)*(VLOOKUP($C$3,ギルド一覧!$B$4:$R$29,13,FALSE)))</f>
        <v>63.225806451612911</v>
      </c>
      <c r="E44" s="193">
        <f>IF($C$4="通常",(VLOOKUP($B$7,'モンスター　一覧'!$B$4:$O$198,11,FALSE)*性格一覧!$D35*Lv50時の伸び率!V35*0.01)*(VLOOKUP($C$3,ギルド一覧!$B$4:$R$29,8,FALSE)),(VLOOKUP($B$7,'モンスター　一覧'!$B$4:$O$198,11,FALSE)*性格一覧!$D35*Lv50時の伸び率!V35*0.01)*(VLOOKUP($C$3,ギルド一覧!$B$4:$R$29,14,FALSE)))</f>
        <v>233.10569105691056</v>
      </c>
      <c r="F44" s="193">
        <f>IF($C$4="通常",(VLOOKUP($B$7,'モンスター　一覧'!$B$4:$O$198,12,FALSE)*性格一覧!$E35*Lv50時の伸び率!W35*0.01)*(VLOOKUP($C$3,ギルド一覧!$B$4:$R$29,9,FALSE)),(VLOOKUP($B$7,'モンスター　一覧'!$B$4:$O$198,12,FALSE)*性格一覧!$E35*Lv50時の伸び率!W35*0.01)*(VLOOKUP($C$3,ギルド一覧!$B$4:$R$29,15,FALSE)))</f>
        <v>47.272727272727273</v>
      </c>
      <c r="G44" s="193">
        <f>IF($C$4="通常",(VLOOKUP($B$7,'モンスター　一覧'!$B$4:$O$198,13,FALSE)*性格一覧!$F35*Lv50時の伸び率!X35*0.01)*(VLOOKUP($C$3,ギルド一覧!$B$4:$R$29,10,FALSE)),(VLOOKUP($B$7,'モンスター　一覧'!$B$4:$O$198,13,FALSE)*性格一覧!$F35*Lv50時の伸び率!X35*0.01)*(VLOOKUP($C$3,ギルド一覧!$B$4:$R$29,16,FALSE)))</f>
        <v>73.767857142857139</v>
      </c>
      <c r="H44" s="201">
        <f>IF($C$4="通常",(VLOOKUP($B$7,'モンスター　一覧'!$B$4:$O$198,14,FALSE)*性格一覧!$G35*Lv50時の伸び率!Y35*0.01)*(VLOOKUP($C$3,ギルド一覧!$B$4:$R$29,11,FALSE)),(VLOOKUP($B$7,'モンスター　一覧'!$B$4:$O$198,14,FALSE)*性格一覧!$G35*Lv50時の伸び率!Y35*0.01)*VLOOKUP($C$3,ギルド一覧!$B$4:$R$29,17,FALSE))</f>
        <v>25.030303030303028</v>
      </c>
      <c r="I44" s="205">
        <f t="shared" si="0"/>
        <v>802.40238495441076</v>
      </c>
      <c r="J44" s="56"/>
      <c r="K44" s="198" t="s">
        <v>52</v>
      </c>
      <c r="L44" s="193">
        <f>IF($L$4="通常",(VLOOKUP($K$7,'モンスター　一覧'!$B$4:$O$198,9,FALSE)*性格一覧!$B35*Lv50時の伸び率!$T35*0.01)*(VLOOKUP($C$3,ギルド一覧!$B$4:$R$29,6,FALSE)),(VLOOKUP($K$7,'モンスター　一覧'!$B$4:$O$198,9,FALSE)*性格一覧!$B35*Lv50時の伸び率!$T35*0.01)*(VLOOKUP($C$3,ギルド一覧!$B$4:$R$29,12,FALSE)))</f>
        <v>239.99999999999997</v>
      </c>
      <c r="M44" s="193">
        <f>IF($L$4="通常",(VLOOKUP($K$7,'モンスター　一覧'!$B$4:$O$198,10,FALSE)*性格一覧!$C35*Lv50時の伸び率!$U35*0.01)*(VLOOKUP($L$3,ギルド一覧!$B$4:$R$29,7,FALSE)),(VLOOKUP($K$7,'モンスター　一覧'!$B$4:$O$198,10,FALSE)*性格一覧!$C35*Lv50時の伸び率!$U35*0.01)*(VLOOKUP($L$3,ギルド一覧!$B$4:$R$29,13,FALSE)))</f>
        <v>108.38709677419354</v>
      </c>
      <c r="N44" s="193">
        <f>IF($L$4="通常",(VLOOKUP($K$7,'モンスター　一覧'!$B$4:$O$198,11,FALSE)*性格一覧!$D35*Lv50時の伸び率!$V35*0.01)*(VLOOKUP($L$3,ギルド一覧!$B$4:$R$29,8,FALSE)),(VLOOKUP($K$7,'モンスター　一覧'!$B$4:$O$198,11,FALSE)*性格一覧!$D35*Lv50時の伸び率!$V35*0.01)*(VLOOKUP($C$3,ギルド一覧!$B$4:$R$29,14,FALSE)))</f>
        <v>174.82926829268294</v>
      </c>
      <c r="O44" s="193">
        <f>IF($L$4="通常",(VLOOKUP($K$7,'モンスター　一覧'!$B$4:$O$198,12,FALSE)*性格一覧!$E35*Lv50時の伸び率!$W35*0.01)*(VLOOKUP($L$3,ギルド一覧!$B$4:$R$29,9,FALSE)),(VLOOKUP($K$7,'モンスター　一覧'!$B$4:$O$198,12,FALSE)*性格一覧!$E35*Lv50時の伸び率!$W35*0.01)*(VLOOKUP($L$3,ギルド一覧!$B$4:$R$29,15,FALSE)))</f>
        <v>227.27272727272728</v>
      </c>
      <c r="P44" s="193">
        <f>IF($L$4="通常",(VLOOKUP($K$7,'モンスター　一覧'!$B$4:$O$198,13,FALSE)*性格一覧!$F35*Lv50時の伸び率!$X35*0.01)*(VLOOKUP($L$3,ギルド一覧!$B$4:$R$29,10,FALSE)),(VLOOKUP($K$7,'モンスター　一覧'!$B$4:$O$198,13,FALSE)*性格一覧!$F35*Lv50時の伸び率!$X35*0.01)*(VLOOKUP($L$3,ギルド一覧!$B$4:$R$29,16,FALSE)))</f>
        <v>164.31428571428572</v>
      </c>
      <c r="Q44" s="194">
        <f>IF($L$4="通常",(VLOOKUP($K$7,'モンスター　一覧'!$B$4:$O$198,14,FALSE)*性格一覧!$G35*Lv50時の伸び率!$Y35*0.01)*(VLOOKUP($L$3,ギルド一覧!$B$4:$R$29,11,FALSE)),(VLOOKUP($K$7,'モンスター　一覧'!$B$4:$O$198,14,FALSE)*性格一覧!$G35*Lv50時の伸び率!$Y35*0.01)*VLOOKUP($L$3,ギルド一覧!$B$4:$R$29,17,FALSE))</f>
        <v>143.03030303030303</v>
      </c>
      <c r="R44" s="205">
        <f t="shared" si="1"/>
        <v>1057.8336810841924</v>
      </c>
      <c r="T44" s="64" t="s">
        <v>52</v>
      </c>
      <c r="U44" s="193">
        <f>IF($U$4="通常",(VLOOKUP($T$7,'モンスター　一覧'!$B$4:$O$198,9,FALSE)*性格一覧!$B35*Lv50時の伸び率!$T35*0.01)*(VLOOKUP($U$3,ギルド一覧!$B$4:$R$29,6,FALSE)),(VLOOKUP($T$7,'モンスター　一覧'!$B$4:$O$198,9,FALSE)*性格一覧!$B35*Lv50時の伸び率!$T35*0.01)*(VLOOKUP($U$3,ギルド一覧!$B$4:$R$29,12,FALSE)))</f>
        <v>383.99999999999994</v>
      </c>
      <c r="V44" s="193">
        <f>IF($T$4="通常",(VLOOKUP($T$7,'モンスター　一覧'!$B$4:$O$198,10,FALSE)*性格一覧!$C35*Lv50時の伸び率!$U35*0.01)*(VLOOKUP($U$3,ギルド一覧!$B$4:$R$29,7,FALSE)),(VLOOKUP($T$7,'モンスター　一覧'!$B$4:$O$198,10,FALSE)*性格一覧!$C35*Lv50時の伸び率!$U35*0.01)*(VLOOKUP($U$3,ギルド一覧!$B$4:$R$29,13,FALSE)))</f>
        <v>137.29032258064515</v>
      </c>
      <c r="W44" s="193">
        <f>IF($U$4="通常",(VLOOKUP($T$7,'モンスター　一覧'!$B$4:$O$198,11,FALSE)*性格一覧!$D35*Lv50時の伸び率!$V35*0.01)*(VLOOKUP($U$3,ギルド一覧!$B$4:$R$29,8,FALSE)),(VLOOKUP($T$7,'モンスター　一覧'!$B$4:$O$198,11,FALSE)*性格一覧!$D35*Lv50時の伸び率!$V35*0.01)*(VLOOKUP($C$3,ギルド一覧!$B$4:$R$29,14,FALSE)))</f>
        <v>154.79674796747966</v>
      </c>
      <c r="X44" s="193">
        <f>IF($U$4="通常",(VLOOKUP($T$7,'モンスター　一覧'!$B$4:$O$198,12,FALSE)*性格一覧!$E35*Lv50時の伸び率!$W35*0.01)*(VLOOKUP($U$3,ギルド一覧!$B$4:$R$29,9,FALSE)),(VLOOKUP($T$7,'モンスター　一覧'!$B$4:$O$198,12,FALSE)*性格一覧!$E35*Lv50時の伸び率!$W35*0.01)*(VLOOKUP($U$3,ギルド一覧!$B$4:$R$29,15,FALSE)))</f>
        <v>161.81818181818181</v>
      </c>
      <c r="Y44" s="193">
        <f>IF($U$4="通常",(VLOOKUP($T$7,'モンスター　一覧'!$B$4:$O$198,13,FALSE)*性格一覧!$F35*Lv50時の伸び率!$X35*0.01)*(VLOOKUP($U$3,ギルド一覧!$B$4:$R$29,10,FALSE)),(VLOOKUP($T$7,'モンスター　一覧'!$B$4:$O$198,13,FALSE)*性格一覧!$F35*Lv50時の伸び率!$X35*0.01)*(VLOOKUP($U$3,ギルド一覧!$B$4:$R$29,16,FALSE)))</f>
        <v>118.60714285714285</v>
      </c>
      <c r="Z44" s="194">
        <f>IF($U$4="通常",(VLOOKUP($T$7,'モンスター　一覧'!$B$4:$O$198,14,FALSE)*性格一覧!$G35*Lv50時の伸び率!$Y35*0.01)*(VLOOKUP($U$3,ギルド一覧!$B$4:$R$29,11,FALSE)),(VLOOKUP($T$7,'モンスター　一覧'!$B$4:$O$198,14,FALSE)*性格一覧!$G35*Lv50時の伸び率!$Y35*0.01)*VLOOKUP($U$3,ギルド一覧!$B$4:$R$29,17,FALSE))</f>
        <v>227.06060606060603</v>
      </c>
      <c r="AA44" s="205">
        <f t="shared" si="2"/>
        <v>1183.5730012840554</v>
      </c>
      <c r="AC44" s="152" t="s">
        <v>100</v>
      </c>
      <c r="AD44" s="219"/>
    </row>
    <row r="45" spans="2:30" s="55" customFormat="1" ht="12">
      <c r="B45" s="64" t="s">
        <v>53</v>
      </c>
      <c r="C45" s="193">
        <f>IF($C$4="通常",(VLOOKUP($B$7,'モンスター　一覧'!$B$4:$O$198,9,FALSE)*性格一覧!$B36*Lv50時の伸び率!T36*0.01)*(VLOOKUP($C$3,ギルド一覧!$B$4:$R$29,6,FALSE)),(VLOOKUP($B$7,'モンスター　一覧'!$B$4:$O$198,9,FALSE)*性格一覧!$B36*Lv50時の伸び率!T36*0.01)*(VLOOKUP($C$3,ギルド一覧!$B$4:$R$29,12,FALSE)))</f>
        <v>352.70270270270265</v>
      </c>
      <c r="D45" s="193">
        <f>IF($C$4="通常",(VLOOKUP($B$7,'モンスター　一覧'!$B$4:$O$198,10,FALSE)*性格一覧!$C36*Lv50時の伸び率!U36*0.01)*(VLOOKUP($C$3,ギルド一覧!$B$4:$R$29,7,FALSE)),(VLOOKUP($B$7,'モンスター　一覧'!$B$4:$O$198,10,FALSE)*性格一覧!$C36*Lv50時の伸び率!U36*0.01)*(VLOOKUP($C$3,ギルド一覧!$B$4:$R$29,13,FALSE)))</f>
        <v>56.451612903225808</v>
      </c>
      <c r="E45" s="193">
        <f>IF($C$4="通常",(VLOOKUP($B$7,'モンスター　一覧'!$B$4:$O$198,11,FALSE)*性格一覧!$D36*Lv50時の伸び率!V36*0.01)*(VLOOKUP($C$3,ギルド一覧!$B$4:$R$29,8,FALSE)),(VLOOKUP($B$7,'モンスター　一覧'!$B$4:$O$198,11,FALSE)*性格一覧!$D36*Lv50時の伸び率!V36*0.01)*(VLOOKUP($C$3,ギルド一覧!$B$4:$R$29,14,FALSE)))</f>
        <v>251.83739837398372</v>
      </c>
      <c r="F45" s="193">
        <f>IF($C$4="通常",(VLOOKUP($B$7,'モンスター　一覧'!$B$4:$O$198,12,FALSE)*性格一覧!$E36*Lv50時の伸び率!W36*0.01)*(VLOOKUP($C$3,ギルド一覧!$B$4:$R$29,9,FALSE)),(VLOOKUP($B$7,'モンスター　一覧'!$B$4:$O$198,12,FALSE)*性格一覧!$E36*Lv50時の伸び率!W36*0.01)*(VLOOKUP($C$3,ギルド一覧!$B$4:$R$29,15,FALSE)))</f>
        <v>55.781818181818181</v>
      </c>
      <c r="G45" s="193">
        <f>IF($C$4="通常",(VLOOKUP($B$7,'モンスター　一覧'!$B$4:$O$198,13,FALSE)*性格一覧!$F36*Lv50時の伸び率!X36*0.01)*(VLOOKUP($C$3,ギルド一覧!$B$4:$R$29,10,FALSE)),(VLOOKUP($B$7,'モンスター　一覧'!$B$4:$O$198,13,FALSE)*性格一覧!$F36*Lv50時の伸び率!X36*0.01)*(VLOOKUP($C$3,ギルド一覧!$B$4:$R$29,16,FALSE)))</f>
        <v>59.196428571428569</v>
      </c>
      <c r="H45" s="201">
        <f>IF($C$4="通常",(VLOOKUP($B$7,'モンスター　一覧'!$B$4:$O$198,14,FALSE)*性格一覧!$G36*Lv50時の伸び率!Y36*0.01)*(VLOOKUP($C$3,ギルド一覧!$B$4:$R$29,11,FALSE)),(VLOOKUP($B$7,'モンスター　一覧'!$B$4:$O$198,14,FALSE)*性格一覧!$G36*Lv50時の伸び率!Y36*0.01)*VLOOKUP($C$3,ギルド一覧!$B$4:$R$29,17,FALSE))</f>
        <v>27.575757575757574</v>
      </c>
      <c r="I45" s="205">
        <f t="shared" si="0"/>
        <v>803.54571830891655</v>
      </c>
      <c r="J45" s="56"/>
      <c r="K45" s="198" t="s">
        <v>53</v>
      </c>
      <c r="L45" s="193">
        <f>IF($L$4="通常",(VLOOKUP($K$7,'モンスター　一覧'!$B$4:$O$198,9,FALSE)*性格一覧!$B36*Lv50時の伸び率!$T36*0.01)*(VLOOKUP($C$3,ギルド一覧!$B$4:$R$29,6,FALSE)),(VLOOKUP($K$7,'モンスター　一覧'!$B$4:$O$198,9,FALSE)*性格一覧!$B36*Lv50時の伸び率!$T36*0.01)*(VLOOKUP($C$3,ギルド一覧!$B$4:$R$29,12,FALSE)))</f>
        <v>235.1351351351351</v>
      </c>
      <c r="M45" s="193">
        <f>IF($L$4="通常",(VLOOKUP($K$7,'モンスター　一覧'!$B$4:$O$198,10,FALSE)*性格一覧!$C36*Lv50時の伸び率!$U36*0.01)*(VLOOKUP($L$3,ギルド一覧!$B$4:$R$29,7,FALSE)),(VLOOKUP($K$7,'モンスター　一覧'!$B$4:$O$198,10,FALSE)*性格一覧!$C36*Lv50時の伸び率!$U36*0.01)*(VLOOKUP($L$3,ギルド一覧!$B$4:$R$29,13,FALSE)))</f>
        <v>96.774193548387089</v>
      </c>
      <c r="N45" s="193">
        <f>IF($L$4="通常",(VLOOKUP($K$7,'モンスター　一覧'!$B$4:$O$198,11,FALSE)*性格一覧!$D36*Lv50時の伸び率!$V36*0.01)*(VLOOKUP($L$3,ギルド一覧!$B$4:$R$29,8,FALSE)),(VLOOKUP($K$7,'モンスター　一覧'!$B$4:$O$198,11,FALSE)*性格一覧!$D36*Lv50時の伸び率!$V36*0.01)*(VLOOKUP($C$3,ギルド一覧!$B$4:$R$29,14,FALSE)))</f>
        <v>188.8780487804878</v>
      </c>
      <c r="O45" s="193">
        <f>IF($L$4="通常",(VLOOKUP($K$7,'モンスター　一覧'!$B$4:$O$198,12,FALSE)*性格一覧!$E36*Lv50時の伸び率!$W36*0.01)*(VLOOKUP($L$3,ギルド一覧!$B$4:$R$29,9,FALSE)),(VLOOKUP($K$7,'モンスター　一覧'!$B$4:$O$198,12,FALSE)*性格一覧!$E36*Lv50時の伸び率!$W36*0.01)*(VLOOKUP($L$3,ギルド一覧!$B$4:$R$29,15,FALSE)))</f>
        <v>268.18181818181819</v>
      </c>
      <c r="P45" s="193">
        <f>IF($L$4="通常",(VLOOKUP($K$7,'モンスター　一覧'!$B$4:$O$198,13,FALSE)*性格一覧!$F36*Lv50時の伸び率!$X36*0.01)*(VLOOKUP($L$3,ギルド一覧!$B$4:$R$29,10,FALSE)),(VLOOKUP($K$7,'モンスター　一覧'!$B$4:$O$198,13,FALSE)*性格一覧!$F36*Lv50時の伸び率!$X36*0.01)*(VLOOKUP($L$3,ギルド一覧!$B$4:$R$29,16,FALSE)))</f>
        <v>131.85714285714286</v>
      </c>
      <c r="Q45" s="194">
        <f>IF($L$4="通常",(VLOOKUP($K$7,'モンスター　一覧'!$B$4:$O$198,14,FALSE)*性格一覧!$G36*Lv50時の伸び率!$Y36*0.01)*(VLOOKUP($L$3,ギルド一覧!$B$4:$R$29,11,FALSE)),(VLOOKUP($K$7,'モンスター　一覧'!$B$4:$O$198,14,FALSE)*性格一覧!$G36*Lv50時の伸び率!$Y36*0.01)*VLOOKUP($L$3,ギルド一覧!$B$4:$R$29,17,FALSE))</f>
        <v>157.57575757575759</v>
      </c>
      <c r="R45" s="205">
        <f t="shared" si="1"/>
        <v>1078.4020960787286</v>
      </c>
      <c r="T45" s="64" t="s">
        <v>53</v>
      </c>
      <c r="U45" s="193">
        <f>IF($U$4="通常",(VLOOKUP($T$7,'モンスター　一覧'!$B$4:$O$198,9,FALSE)*性格一覧!$B36*Lv50時の伸び率!$T36*0.01)*(VLOOKUP($U$3,ギルド一覧!$B$4:$R$29,6,FALSE)),(VLOOKUP($T$7,'モンスター　一覧'!$B$4:$O$198,9,FALSE)*性格一覧!$B36*Lv50時の伸び率!$T36*0.01)*(VLOOKUP($U$3,ギルド一覧!$B$4:$R$29,12,FALSE)))</f>
        <v>376.2162162162162</v>
      </c>
      <c r="V45" s="193">
        <f>IF($T$4="通常",(VLOOKUP($T$7,'モンスター　一覧'!$B$4:$O$198,10,FALSE)*性格一覧!$C36*Lv50時の伸び率!$U36*0.01)*(VLOOKUP($U$3,ギルド一覧!$B$4:$R$29,7,FALSE)),(VLOOKUP($T$7,'モンスター　一覧'!$B$4:$O$198,10,FALSE)*性格一覧!$C36*Lv50時の伸び率!$U36*0.01)*(VLOOKUP($U$3,ギルド一覧!$B$4:$R$29,13,FALSE)))</f>
        <v>122.58064516129031</v>
      </c>
      <c r="W45" s="193">
        <f>IF($U$4="通常",(VLOOKUP($T$7,'モンスター　一覧'!$B$4:$O$198,11,FALSE)*性格一覧!$D36*Lv50時の伸び率!$V36*0.01)*(VLOOKUP($U$3,ギルド一覧!$B$4:$R$29,8,FALSE)),(VLOOKUP($T$7,'モンスター　一覧'!$B$4:$O$198,11,FALSE)*性格一覧!$D36*Lv50時の伸び率!$V36*0.01)*(VLOOKUP($C$3,ギルド一覧!$B$4:$R$29,14,FALSE)))</f>
        <v>167.23577235772359</v>
      </c>
      <c r="X45" s="193">
        <f>IF($U$4="通常",(VLOOKUP($T$7,'モンスター　一覧'!$B$4:$O$198,12,FALSE)*性格一覧!$E36*Lv50時の伸び率!$W36*0.01)*(VLOOKUP($U$3,ギルド一覧!$B$4:$R$29,9,FALSE)),(VLOOKUP($T$7,'モンスター　一覧'!$B$4:$O$198,12,FALSE)*性格一覧!$E36*Lv50時の伸び率!$W36*0.01)*(VLOOKUP($U$3,ギルド一覧!$B$4:$R$29,15,FALSE)))</f>
        <v>190.94545454545457</v>
      </c>
      <c r="Y45" s="193">
        <f>IF($U$4="通常",(VLOOKUP($T$7,'モンスター　一覧'!$B$4:$O$198,13,FALSE)*性格一覧!$F36*Lv50時の伸び率!$X36*0.01)*(VLOOKUP($U$3,ギルド一覧!$B$4:$R$29,10,FALSE)),(VLOOKUP($T$7,'モンスター　一覧'!$B$4:$O$198,13,FALSE)*性格一覧!$F36*Lv50時の伸び率!$X36*0.01)*(VLOOKUP($U$3,ギルド一覧!$B$4:$R$29,16,FALSE)))</f>
        <v>95.178571428571431</v>
      </c>
      <c r="Z45" s="194">
        <f>IF($U$4="通常",(VLOOKUP($T$7,'モンスター　一覧'!$B$4:$O$198,14,FALSE)*性格一覧!$G36*Lv50時の伸び率!$Y36*0.01)*(VLOOKUP($U$3,ギルド一覧!$B$4:$R$29,11,FALSE)),(VLOOKUP($T$7,'モンスター　一覧'!$B$4:$O$198,14,FALSE)*性格一覧!$G36*Lv50時の伸び率!$Y36*0.01)*VLOOKUP($U$3,ギルド一覧!$B$4:$R$29,17,FALSE))</f>
        <v>250.15151515151516</v>
      </c>
      <c r="AA45" s="205">
        <f t="shared" si="2"/>
        <v>1202.3081748607713</v>
      </c>
      <c r="AC45" s="152" t="s">
        <v>218</v>
      </c>
      <c r="AD45" s="219"/>
    </row>
    <row r="46" spans="2:30" s="55" customFormat="1">
      <c r="B46" s="64" t="s">
        <v>54</v>
      </c>
      <c r="C46" s="193">
        <f>IF($C$4="通常",(VLOOKUP($B$7,'モンスター　一覧'!$B$4:$O$198,9,FALSE)*性格一覧!$B37*Lv50時の伸び率!T37*0.01)*(VLOOKUP($C$3,ギルド一覧!$B$4:$R$29,6,FALSE)),(VLOOKUP($B$7,'モンスター　一覧'!$B$4:$O$198,9,FALSE)*性格一覧!$B37*Lv50時の伸び率!T37*0.01)*(VLOOKUP($C$3,ギルド一覧!$B$4:$R$29,12,FALSE)))</f>
        <v>270.96774193548384</v>
      </c>
      <c r="D46" s="193">
        <f>IF($C$4="通常",(VLOOKUP($B$7,'モンスター　一覧'!$B$4:$O$198,10,FALSE)*性格一覧!$C37*Lv50時の伸び率!U37*0.01)*(VLOOKUP($C$3,ギルド一覧!$B$4:$R$29,7,FALSE)),(VLOOKUP($B$7,'モンスター　一覧'!$B$4:$O$198,10,FALSE)*性格一覧!$C37*Lv50時の伸び率!U37*0.01)*(VLOOKUP($C$3,ギルド一覧!$B$4:$R$29,13,FALSE)))</f>
        <v>83.125</v>
      </c>
      <c r="E46" s="193">
        <f>IF($C$4="通常",(VLOOKUP($B$7,'モンスター　一覧'!$B$4:$O$198,11,FALSE)*性格一覧!$D37*Lv50時の伸び率!V37*0.01)*(VLOOKUP($C$3,ギルド一覧!$B$4:$R$29,8,FALSE)),(VLOOKUP($B$7,'モンスター　一覧'!$B$4:$O$198,11,FALSE)*性格一覧!$D37*Lv50時の伸び率!V37*0.01)*(VLOOKUP($C$3,ギルド一覧!$B$4:$R$29,14,FALSE)))</f>
        <v>184.32</v>
      </c>
      <c r="F46" s="193">
        <f>IF($C$4="通常",(VLOOKUP($B$7,'モンスター　一覧'!$B$4:$O$198,12,FALSE)*性格一覧!$E37*Lv50時の伸び率!W37*0.01)*(VLOOKUP($C$3,ギルド一覧!$B$4:$R$29,9,FALSE)),(VLOOKUP($B$7,'モンスター　一覧'!$B$4:$O$198,12,FALSE)*性格一覧!$E37*Lv50時の伸び率!W37*0.01)*(VLOOKUP($C$3,ギルド一覧!$B$4:$R$29,15,FALSE)))</f>
        <v>30.018181818181816</v>
      </c>
      <c r="G46" s="193">
        <f>IF($C$4="通常",(VLOOKUP($B$7,'モンスター　一覧'!$B$4:$O$198,13,FALSE)*性格一覧!$F37*Lv50時の伸び率!X37*0.01)*(VLOOKUP($C$3,ギルド一覧!$B$4:$R$29,10,FALSE)),(VLOOKUP($B$7,'モンスター　一覧'!$B$4:$O$198,13,FALSE)*性格一覧!$F37*Lv50時の伸び率!X37*0.01)*(VLOOKUP($C$3,ギルド一覧!$B$4:$R$29,16,FALSE)))</f>
        <v>102.5257731958763</v>
      </c>
      <c r="H46" s="201">
        <f>IF($C$4="通常",(VLOOKUP($B$7,'モンスター　一覧'!$B$4:$O$198,14,FALSE)*性格一覧!$G37*Lv50時の伸び率!Y37*0.01)*(VLOOKUP($C$3,ギルド一覧!$B$4:$R$29,11,FALSE)),(VLOOKUP($B$7,'モンスター　一覧'!$B$4:$O$198,14,FALSE)*性格一覧!$G37*Lv50時の伸び率!Y37*0.01)*VLOOKUP($C$3,ギルド一覧!$B$4:$R$29,17,FALSE))</f>
        <v>27.529411764705884</v>
      </c>
      <c r="I46" s="205">
        <f t="shared" si="0"/>
        <v>698.48610871424785</v>
      </c>
      <c r="J46" s="56"/>
      <c r="K46" s="198" t="s">
        <v>54</v>
      </c>
      <c r="L46" s="193">
        <f>IF($L$4="通常",(VLOOKUP($K$7,'モンスター　一覧'!$B$4:$O$198,9,FALSE)*性格一覧!$B37*Lv50時の伸び率!$T37*0.01)*(VLOOKUP($C$3,ギルド一覧!$B$4:$R$29,6,FALSE)),(VLOOKUP($K$7,'モンスター　一覧'!$B$4:$O$198,9,FALSE)*性格一覧!$B37*Lv50時の伸び率!$T37*0.01)*(VLOOKUP($C$3,ギルド一覧!$B$4:$R$29,12,FALSE)))</f>
        <v>180.64516129032259</v>
      </c>
      <c r="M46" s="193">
        <f>IF($L$4="通常",(VLOOKUP($K$7,'モンスター　一覧'!$B$4:$O$198,10,FALSE)*性格一覧!$C37*Lv50時の伸び率!$U37*0.01)*(VLOOKUP($L$3,ギルド一覧!$B$4:$R$29,7,FALSE)),(VLOOKUP($K$7,'モンスター　一覧'!$B$4:$O$198,10,FALSE)*性格一覧!$C37*Lv50時の伸び率!$U37*0.01)*(VLOOKUP($L$3,ギルド一覧!$B$4:$R$29,13,FALSE)))</f>
        <v>142.5</v>
      </c>
      <c r="N46" s="193">
        <f>IF($L$4="通常",(VLOOKUP($K$7,'モンスター　一覧'!$B$4:$O$198,11,FALSE)*性格一覧!$D37*Lv50時の伸び率!$V37*0.01)*(VLOOKUP($L$3,ギルド一覧!$B$4:$R$29,8,FALSE)),(VLOOKUP($K$7,'モンスター　一覧'!$B$4:$O$198,11,FALSE)*性格一覧!$D37*Lv50時の伸び率!$V37*0.01)*(VLOOKUP($C$3,ギルド一覧!$B$4:$R$29,14,FALSE)))</f>
        <v>138.24</v>
      </c>
      <c r="O46" s="193">
        <f>IF($L$4="通常",(VLOOKUP($K$7,'モンスター　一覧'!$B$4:$O$198,12,FALSE)*性格一覧!$E37*Lv50時の伸び率!$W37*0.01)*(VLOOKUP($L$3,ギルド一覧!$B$4:$R$29,9,FALSE)),(VLOOKUP($K$7,'モンスター　一覧'!$B$4:$O$198,12,FALSE)*性格一覧!$E37*Lv50時の伸び率!$W37*0.01)*(VLOOKUP($L$3,ギルド一覧!$B$4:$R$29,15,FALSE)))</f>
        <v>144.31818181818181</v>
      </c>
      <c r="P46" s="193">
        <f>IF($L$4="通常",(VLOOKUP($K$7,'モンスター　一覧'!$B$4:$O$198,13,FALSE)*性格一覧!$F37*Lv50時の伸び率!$X37*0.01)*(VLOOKUP($L$3,ギルド一覧!$B$4:$R$29,10,FALSE)),(VLOOKUP($K$7,'モンスター　一覧'!$B$4:$O$198,13,FALSE)*性格一覧!$F37*Lv50時の伸び率!$X37*0.01)*(VLOOKUP($L$3,ギルド一覧!$B$4:$R$29,16,FALSE)))</f>
        <v>228.3711340206186</v>
      </c>
      <c r="Q46" s="194">
        <f>IF($L$4="通常",(VLOOKUP($K$7,'モンスター　一覧'!$B$4:$O$198,14,FALSE)*性格一覧!$G37*Lv50時の伸び率!$Y37*0.01)*(VLOOKUP($L$3,ギルド一覧!$B$4:$R$29,11,FALSE)),(VLOOKUP($K$7,'モンスター　一覧'!$B$4:$O$198,14,FALSE)*性格一覧!$G37*Lv50時の伸び率!$Y37*0.01)*VLOOKUP($L$3,ギルド一覧!$B$4:$R$29,17,FALSE))</f>
        <v>157.31092436974791</v>
      </c>
      <c r="R46" s="205">
        <f t="shared" si="1"/>
        <v>991.38540149887092</v>
      </c>
      <c r="T46" s="64" t="s">
        <v>54</v>
      </c>
      <c r="U46" s="193">
        <f>IF($U$4="通常",(VLOOKUP($T$7,'モンスター　一覧'!$B$4:$O$198,9,FALSE)*性格一覧!$B37*Lv50時の伸び率!$T37*0.01)*(VLOOKUP($U$3,ギルド一覧!$B$4:$R$29,6,FALSE)),(VLOOKUP($T$7,'モンスター　一覧'!$B$4:$O$198,9,FALSE)*性格一覧!$B37*Lv50時の伸び率!$T37*0.01)*(VLOOKUP($U$3,ギルド一覧!$B$4:$R$29,12,FALSE)))</f>
        <v>289.0322580645161</v>
      </c>
      <c r="V46" s="193">
        <f>IF($T$4="通常",(VLOOKUP($T$7,'モンスター　一覧'!$B$4:$O$198,10,FALSE)*性格一覧!$C37*Lv50時の伸び率!$U37*0.01)*(VLOOKUP($U$3,ギルド一覧!$B$4:$R$29,7,FALSE)),(VLOOKUP($T$7,'モンスター　一覧'!$B$4:$O$198,10,FALSE)*性格一覧!$C37*Lv50時の伸び率!$U37*0.01)*(VLOOKUP($U$3,ギルド一覧!$B$4:$R$29,13,FALSE)))</f>
        <v>180.5</v>
      </c>
      <c r="W46" s="193">
        <f>IF($U$4="通常",(VLOOKUP($T$7,'モンスター　一覧'!$B$4:$O$198,11,FALSE)*性格一覧!$D37*Lv50時の伸び率!$V37*0.01)*(VLOOKUP($U$3,ギルド一覧!$B$4:$R$29,8,FALSE)),(VLOOKUP($T$7,'モンスター　一覧'!$B$4:$O$198,11,FALSE)*性格一覧!$D37*Lv50時の伸び率!$V37*0.01)*(VLOOKUP($C$3,ギルド一覧!$B$4:$R$29,14,FALSE)))</f>
        <v>122.4</v>
      </c>
      <c r="X46" s="193">
        <f>IF($U$4="通常",(VLOOKUP($T$7,'モンスター　一覧'!$B$4:$O$198,12,FALSE)*性格一覧!$E37*Lv50時の伸び率!$W37*0.01)*(VLOOKUP($U$3,ギルド一覧!$B$4:$R$29,9,FALSE)),(VLOOKUP($T$7,'モンスター　一覧'!$B$4:$O$198,12,FALSE)*性格一覧!$E37*Lv50時の伸び率!$W37*0.01)*(VLOOKUP($U$3,ギルド一覧!$B$4:$R$29,15,FALSE)))</f>
        <v>102.75454545454545</v>
      </c>
      <c r="Y46" s="193">
        <f>IF($U$4="通常",(VLOOKUP($T$7,'モンスター　一覧'!$B$4:$O$198,13,FALSE)*性格一覧!$F37*Lv50時の伸び率!$X37*0.01)*(VLOOKUP($U$3,ギルド一覧!$B$4:$R$29,10,FALSE)),(VLOOKUP($T$7,'モンスター　一覧'!$B$4:$O$198,13,FALSE)*性格一覧!$F37*Lv50時の伸び率!$X37*0.01)*(VLOOKUP($U$3,ギルド一覧!$B$4:$R$29,16,FALSE)))</f>
        <v>164.84536082474227</v>
      </c>
      <c r="Z46" s="194">
        <f>IF($U$4="通常",(VLOOKUP($T$7,'モンスター　一覧'!$B$4:$O$198,14,FALSE)*性格一覧!$G37*Lv50時の伸び率!$Y37*0.01)*(VLOOKUP($U$3,ギルド一覧!$B$4:$R$29,11,FALSE)),(VLOOKUP($T$7,'モンスター　一覧'!$B$4:$O$198,14,FALSE)*性格一覧!$G37*Lv50時の伸び率!$Y37*0.01)*VLOOKUP($U$3,ギルド一覧!$B$4:$R$29,17,FALSE))</f>
        <v>249.73109243697479</v>
      </c>
      <c r="AA46" s="205">
        <f t="shared" si="2"/>
        <v>1109.2632567807786</v>
      </c>
      <c r="AC46" s="152" t="s">
        <v>169</v>
      </c>
      <c r="AD46" s="235"/>
    </row>
    <row r="47" spans="2:30" s="55" customFormat="1" ht="12">
      <c r="B47" s="64" t="s">
        <v>56</v>
      </c>
      <c r="C47" s="193">
        <f>IF($C$4="通常",(VLOOKUP($B$7,'モンスター　一覧'!$B$4:$O$198,9,FALSE)*性格一覧!$B38*Lv50時の伸び率!T38*0.01)*(VLOOKUP($C$3,ギルド一覧!$B$4:$R$29,6,FALSE)),(VLOOKUP($B$7,'モンスター　一覧'!$B$4:$O$198,9,FALSE)*性格一覧!$B38*Lv50時の伸び率!T38*0.01)*(VLOOKUP($C$3,ギルド一覧!$B$4:$R$29,12,FALSE)))</f>
        <v>325.13513513513516</v>
      </c>
      <c r="D47" s="193">
        <f>IF($C$4="通常",(VLOOKUP($B$7,'モンスター　一覧'!$B$4:$O$198,10,FALSE)*性格一覧!$C38*Lv50時の伸び率!U38*0.01)*(VLOOKUP($C$3,ギルド一覧!$B$4:$R$29,7,FALSE)),(VLOOKUP($B$7,'モンスター　一覧'!$B$4:$O$198,10,FALSE)*性格一覧!$C38*Lv50時の伸び率!U38*0.01)*(VLOOKUP($C$3,ギルド一覧!$B$4:$R$29,13,FALSE)))</f>
        <v>58.70967741935484</v>
      </c>
      <c r="E47" s="193">
        <f>IF($C$4="通常",(VLOOKUP($B$7,'モンスター　一覧'!$B$4:$O$198,11,FALSE)*性格一覧!$D38*Lv50時の伸び率!V38*0.01)*(VLOOKUP($C$3,ギルド一覧!$B$4:$R$29,8,FALSE)),(VLOOKUP($B$7,'モンスター　一覧'!$B$4:$O$198,11,FALSE)*性格一覧!$D38*Lv50時の伸び率!V38*0.01)*(VLOOKUP($C$3,ギルド一覧!$B$4:$R$29,14,FALSE)))</f>
        <v>222.69918699186994</v>
      </c>
      <c r="F47" s="193">
        <f>IF($C$4="通常",(VLOOKUP($B$7,'モンスター　一覧'!$B$4:$O$198,12,FALSE)*性格一覧!$E38*Lv50時の伸び率!W38*0.01)*(VLOOKUP($C$3,ギルド一覧!$B$4:$R$29,9,FALSE)),(VLOOKUP($B$7,'モンスター　一覧'!$B$4:$O$198,12,FALSE)*性格一覧!$E38*Lv50時の伸び率!W38*0.01)*(VLOOKUP($C$3,ギルド一覧!$B$4:$R$29,15,FALSE)))</f>
        <v>48.45454545454546</v>
      </c>
      <c r="G47" s="193">
        <f>IF($C$4="通常",(VLOOKUP($B$7,'モンスター　一覧'!$B$4:$O$198,13,FALSE)*性格一覧!$F38*Lv50時の伸び率!X38*0.01)*(VLOOKUP($C$3,ギルド一覧!$B$4:$R$29,10,FALSE)),(VLOOKUP($B$7,'モンスター　一覧'!$B$4:$O$198,13,FALSE)*性格一覧!$F38*Lv50時の伸び率!X38*0.01)*(VLOOKUP($C$3,ギルド一覧!$B$4:$R$29,16,FALSE)))</f>
        <v>91.982142857142861</v>
      </c>
      <c r="H47" s="201">
        <f>IF($C$4="通常",(VLOOKUP($B$7,'モンスター　一覧'!$B$4:$O$198,14,FALSE)*性格一覧!$G38*Lv50時の伸び率!Y38*0.01)*(VLOOKUP($C$3,ギルド一覧!$B$4:$R$29,11,FALSE)),(VLOOKUP($B$7,'モンスター　一覧'!$B$4:$O$198,14,FALSE)*性格一覧!$G38*Lv50時の伸び率!Y38*0.01)*VLOOKUP($C$3,ギルド一覧!$B$4:$R$29,17,FALSE))</f>
        <v>23.333333333333336</v>
      </c>
      <c r="I47" s="205">
        <f t="shared" si="0"/>
        <v>770.3140211913817</v>
      </c>
      <c r="J47" s="56"/>
      <c r="K47" s="198" t="s">
        <v>56</v>
      </c>
      <c r="L47" s="193">
        <f>IF($L$4="通常",(VLOOKUP($K$7,'モンスター　一覧'!$B$4:$O$198,9,FALSE)*性格一覧!$B38*Lv50時の伸び率!$T38*0.01)*(VLOOKUP($C$3,ギルド一覧!$B$4:$R$29,6,FALSE)),(VLOOKUP($K$7,'モンスター　一覧'!$B$4:$O$198,9,FALSE)*性格一覧!$B38*Lv50時の伸び率!$T38*0.01)*(VLOOKUP($C$3,ギルド一覧!$B$4:$R$29,12,FALSE)))</f>
        <v>216.75675675675677</v>
      </c>
      <c r="M47" s="193">
        <f>IF($L$4="通常",(VLOOKUP($K$7,'モンスター　一覧'!$B$4:$O$198,10,FALSE)*性格一覧!$C38*Lv50時の伸び率!$U38*0.01)*(VLOOKUP($L$3,ギルド一覧!$B$4:$R$29,7,FALSE)),(VLOOKUP($K$7,'モンスター　一覧'!$B$4:$O$198,10,FALSE)*性格一覧!$C38*Lv50時の伸び率!$U38*0.01)*(VLOOKUP($L$3,ギルド一覧!$B$4:$R$29,13,FALSE)))</f>
        <v>100.64516129032258</v>
      </c>
      <c r="N47" s="193">
        <f>IF($L$4="通常",(VLOOKUP($K$7,'モンスター　一覧'!$B$4:$O$198,11,FALSE)*性格一覧!$D38*Lv50時の伸び率!$V38*0.01)*(VLOOKUP($L$3,ギルド一覧!$B$4:$R$29,8,FALSE)),(VLOOKUP($K$7,'モンスター　一覧'!$B$4:$O$198,11,FALSE)*性格一覧!$D38*Lv50時の伸び率!$V38*0.01)*(VLOOKUP($C$3,ギルド一覧!$B$4:$R$29,14,FALSE)))</f>
        <v>167.02439024390245</v>
      </c>
      <c r="O47" s="193">
        <f>IF($L$4="通常",(VLOOKUP($K$7,'モンスター　一覧'!$B$4:$O$198,12,FALSE)*性格一覧!$E38*Lv50時の伸び率!$W38*0.01)*(VLOOKUP($L$3,ギルド一覧!$B$4:$R$29,9,FALSE)),(VLOOKUP($K$7,'モンスター　一覧'!$B$4:$O$198,12,FALSE)*性格一覧!$E38*Lv50時の伸び率!$W38*0.01)*(VLOOKUP($L$3,ギルド一覧!$B$4:$R$29,15,FALSE)))</f>
        <v>232.9545454545455</v>
      </c>
      <c r="P47" s="193">
        <f>IF($L$4="通常",(VLOOKUP($K$7,'モンスター　一覧'!$B$4:$O$198,13,FALSE)*性格一覧!$F38*Lv50時の伸び率!$X38*0.01)*(VLOOKUP($L$3,ギルド一覧!$B$4:$R$29,10,FALSE)),(VLOOKUP($K$7,'モンスター　一覧'!$B$4:$O$198,13,FALSE)*性格一覧!$F38*Lv50時の伸び率!$X38*0.01)*(VLOOKUP($L$3,ギルド一覧!$B$4:$R$29,16,FALSE)))</f>
        <v>204.88571428571433</v>
      </c>
      <c r="Q47" s="194">
        <f>IF($L$4="通常",(VLOOKUP($K$7,'モンスター　一覧'!$B$4:$O$198,14,FALSE)*性格一覧!$G38*Lv50時の伸び率!$Y38*0.01)*(VLOOKUP($L$3,ギルド一覧!$B$4:$R$29,11,FALSE)),(VLOOKUP($K$7,'モンスター　一覧'!$B$4:$O$198,14,FALSE)*性格一覧!$G38*Lv50時の伸び率!$Y38*0.01)*VLOOKUP($L$3,ギルド一覧!$B$4:$R$29,17,FALSE))</f>
        <v>133.33333333333334</v>
      </c>
      <c r="R47" s="205">
        <f t="shared" si="1"/>
        <v>1055.5999013645749</v>
      </c>
      <c r="T47" s="64" t="s">
        <v>56</v>
      </c>
      <c r="U47" s="193">
        <f>IF($U$4="通常",(VLOOKUP($T$7,'モンスター　一覧'!$B$4:$O$198,9,FALSE)*性格一覧!$B38*Lv50時の伸び率!$T38*0.01)*(VLOOKUP($U$3,ギルド一覧!$B$4:$R$29,6,FALSE)),(VLOOKUP($T$7,'モンスター　一覧'!$B$4:$O$198,9,FALSE)*性格一覧!$B38*Lv50時の伸び率!$T38*0.01)*(VLOOKUP($U$3,ギルド一覧!$B$4:$R$29,12,FALSE)))</f>
        <v>346.81081081081078</v>
      </c>
      <c r="V47" s="193">
        <f>IF($T$4="通常",(VLOOKUP($T$7,'モンスター　一覧'!$B$4:$O$198,10,FALSE)*性格一覧!$C38*Lv50時の伸び率!$U38*0.01)*(VLOOKUP($U$3,ギルド一覧!$B$4:$R$29,7,FALSE)),(VLOOKUP($T$7,'モンスター　一覧'!$B$4:$O$198,10,FALSE)*性格一覧!$C38*Lv50時の伸び率!$U38*0.01)*(VLOOKUP($U$3,ギルド一覧!$B$4:$R$29,13,FALSE)))</f>
        <v>127.48387096774194</v>
      </c>
      <c r="W47" s="193">
        <f>IF($U$4="通常",(VLOOKUP($T$7,'モンスター　一覧'!$B$4:$O$198,11,FALSE)*性格一覧!$D38*Lv50時の伸び率!$V38*0.01)*(VLOOKUP($U$3,ギルド一覧!$B$4:$R$29,8,FALSE)),(VLOOKUP($T$7,'モンスター　一覧'!$B$4:$O$198,11,FALSE)*性格一覧!$D38*Lv50時の伸び率!$V38*0.01)*(VLOOKUP($C$3,ギルド一覧!$B$4:$R$29,14,FALSE)))</f>
        <v>147.88617886178861</v>
      </c>
      <c r="X47" s="193">
        <f>IF($U$4="通常",(VLOOKUP($T$7,'モンスター　一覧'!$B$4:$O$198,12,FALSE)*性格一覧!$E38*Lv50時の伸び率!$W38*0.01)*(VLOOKUP($U$3,ギルド一覧!$B$4:$R$29,9,FALSE)),(VLOOKUP($T$7,'モンスター　一覧'!$B$4:$O$198,12,FALSE)*性格一覧!$E38*Lv50時の伸び率!$W38*0.01)*(VLOOKUP($U$3,ギルド一覧!$B$4:$R$29,15,FALSE)))</f>
        <v>165.86363636363637</v>
      </c>
      <c r="Y47" s="193">
        <f>IF($U$4="通常",(VLOOKUP($T$7,'モンスター　一覧'!$B$4:$O$198,13,FALSE)*性格一覧!$F38*Lv50時の伸び率!$X38*0.01)*(VLOOKUP($U$3,ギルド一覧!$B$4:$R$29,10,FALSE)),(VLOOKUP($T$7,'モンスター　一覧'!$B$4:$O$198,13,FALSE)*性格一覧!$F38*Lv50時の伸び率!$X38*0.01)*(VLOOKUP($U$3,ギルド一覧!$B$4:$R$29,16,FALSE)))</f>
        <v>147.89285714285717</v>
      </c>
      <c r="Z47" s="194">
        <f>IF($U$4="通常",(VLOOKUP($T$7,'モンスター　一覧'!$B$4:$O$198,14,FALSE)*性格一覧!$G38*Lv50時の伸び率!$Y38*0.01)*(VLOOKUP($U$3,ギルド一覧!$B$4:$R$29,11,FALSE)),(VLOOKUP($T$7,'モンスター　一覧'!$B$4:$O$198,14,FALSE)*性格一覧!$G38*Lv50時の伸び率!$Y38*0.01)*VLOOKUP($U$3,ギルド一覧!$B$4:$R$29,17,FALSE))</f>
        <v>211.66666666666669</v>
      </c>
      <c r="AA47" s="205">
        <f t="shared" si="2"/>
        <v>1147.6040208135016</v>
      </c>
      <c r="AC47" s="152" t="s">
        <v>181</v>
      </c>
      <c r="AD47" s="219"/>
    </row>
    <row r="48" spans="2:30" s="55" customFormat="1" ht="12">
      <c r="B48" s="64" t="s">
        <v>57</v>
      </c>
      <c r="C48" s="193">
        <f>IF($C$4="通常",(VLOOKUP($B$7,'モンスター　一覧'!$B$4:$O$198,9,FALSE)*性格一覧!$B39*Lv50時の伸び率!T39*0.01)*(VLOOKUP($C$3,ギルド一覧!$B$4:$R$29,6,FALSE)),(VLOOKUP($B$7,'モンスター　一覧'!$B$4:$O$198,9,FALSE)*性格一覧!$B39*Lv50時の伸び率!T39*0.01)*(VLOOKUP($C$3,ギルド一覧!$B$4:$R$29,12,FALSE)))</f>
        <v>308.70967741935482</v>
      </c>
      <c r="D48" s="193">
        <f>IF($C$4="通常",(VLOOKUP($B$7,'モンスター　一覧'!$B$4:$O$198,10,FALSE)*性格一覧!$C39*Lv50時の伸び率!U39*0.01)*(VLOOKUP($C$3,ギルド一覧!$B$4:$R$29,7,FALSE)),(VLOOKUP($B$7,'モンスター　一覧'!$B$4:$O$198,10,FALSE)*性格一覧!$C39*Lv50時の伸び率!U39*0.01)*(VLOOKUP($C$3,ギルド一覧!$B$4:$R$29,13,FALSE)))</f>
        <v>63.984374999999993</v>
      </c>
      <c r="E48" s="193">
        <f>IF($C$4="通常",(VLOOKUP($B$7,'モンスター　一覧'!$B$4:$O$198,11,FALSE)*性格一覧!$D39*Lv50時の伸び率!V39*0.01)*(VLOOKUP($C$3,ギルド一覧!$B$4:$R$29,8,FALSE)),(VLOOKUP($B$7,'モンスター　一覧'!$B$4:$O$198,11,FALSE)*性格一覧!$D39*Lv50時の伸び率!V39*0.01)*(VLOOKUP($C$3,ギルド一覧!$B$4:$R$29,14,FALSE)))</f>
        <v>269.65333333333331</v>
      </c>
      <c r="F48" s="193">
        <f>IF($C$4="通常",(VLOOKUP($B$7,'モンスター　一覧'!$B$4:$O$198,12,FALSE)*性格一覧!$E39*Lv50時の伸び率!W39*0.01)*(VLOOKUP($C$3,ギルド一覧!$B$4:$R$29,9,FALSE)),(VLOOKUP($B$7,'モンスター　一覧'!$B$4:$O$198,12,FALSE)*性格一覧!$E39*Lv50時の伸び率!W39*0.01)*(VLOOKUP($C$3,ギルド一覧!$B$4:$R$29,15,FALSE)))</f>
        <v>41.127272727272718</v>
      </c>
      <c r="G48" s="193">
        <f>IF($C$4="通常",(VLOOKUP($B$7,'モンスター　一覧'!$B$4:$O$198,13,FALSE)*性格一覧!$F39*Lv50時の伸び率!X39*0.01)*(VLOOKUP($C$3,ギルド一覧!$B$4:$R$29,10,FALSE)),(VLOOKUP($B$7,'モンスター　一覧'!$B$4:$O$198,13,FALSE)*性格一覧!$F39*Lv50時の伸び率!X39*0.01)*(VLOOKUP($C$3,ギルド一覧!$B$4:$R$29,16,FALSE)))</f>
        <v>100.42268041237112</v>
      </c>
      <c r="H48" s="201">
        <f>IF($C$4="通常",(VLOOKUP($B$7,'モンスター　一覧'!$B$4:$O$198,14,FALSE)*性格一覧!$G39*Lv50時の伸び率!Y39*0.01)*(VLOOKUP($C$3,ギルド一覧!$B$4:$R$29,11,FALSE)),(VLOOKUP($B$7,'モンスター　一覧'!$B$4:$O$198,14,FALSE)*性格一覧!$G39*Lv50時の伸び率!Y39*0.01)*VLOOKUP($C$3,ギルド一覧!$B$4:$R$29,17,FALSE))</f>
        <v>26.470588235294116</v>
      </c>
      <c r="I48" s="205">
        <f t="shared" si="0"/>
        <v>810.3679271276261</v>
      </c>
      <c r="J48" s="56"/>
      <c r="K48" s="198" t="s">
        <v>57</v>
      </c>
      <c r="L48" s="193">
        <f>IF($L$4="通常",(VLOOKUP($K$7,'モンスター　一覧'!$B$4:$O$198,9,FALSE)*性格一覧!$B39*Lv50時の伸び率!$T39*0.01)*(VLOOKUP($C$3,ギルド一覧!$B$4:$R$29,6,FALSE)),(VLOOKUP($K$7,'モンスター　一覧'!$B$4:$O$198,9,FALSE)*性格一覧!$B39*Lv50時の伸び率!$T39*0.01)*(VLOOKUP($C$3,ギルド一覧!$B$4:$R$29,12,FALSE)))</f>
        <v>205.80645161290323</v>
      </c>
      <c r="M48" s="193">
        <f>IF($L$4="通常",(VLOOKUP($K$7,'モンスター　一覧'!$B$4:$O$198,10,FALSE)*性格一覧!$C39*Lv50時の伸び率!$U39*0.01)*(VLOOKUP($L$3,ギルド一覧!$B$4:$R$29,7,FALSE)),(VLOOKUP($K$7,'モンスター　一覧'!$B$4:$O$198,10,FALSE)*性格一覧!$C39*Lv50時の伸び率!$U39*0.01)*(VLOOKUP($L$3,ギルド一覧!$B$4:$R$29,13,FALSE)))</f>
        <v>109.6875</v>
      </c>
      <c r="N48" s="193">
        <f>IF($L$4="通常",(VLOOKUP($K$7,'モンスター　一覧'!$B$4:$O$198,11,FALSE)*性格一覧!$D39*Lv50時の伸び率!$V39*0.01)*(VLOOKUP($L$3,ギルド一覧!$B$4:$R$29,8,FALSE)),(VLOOKUP($K$7,'モンスター　一覧'!$B$4:$O$198,11,FALSE)*性格一覧!$D39*Lv50時の伸び率!$V39*0.01)*(VLOOKUP($C$3,ギルド一覧!$B$4:$R$29,14,FALSE)))</f>
        <v>202.24</v>
      </c>
      <c r="O48" s="193">
        <f>IF($L$4="通常",(VLOOKUP($K$7,'モンスター　一覧'!$B$4:$O$198,12,FALSE)*性格一覧!$E39*Lv50時の伸び率!$W39*0.01)*(VLOOKUP($L$3,ギルド一覧!$B$4:$R$29,9,FALSE)),(VLOOKUP($K$7,'モンスター　一覧'!$B$4:$O$198,12,FALSE)*性格一覧!$E39*Lv50時の伸び率!$W39*0.01)*(VLOOKUP($L$3,ギルド一覧!$B$4:$R$29,15,FALSE)))</f>
        <v>197.72727272727269</v>
      </c>
      <c r="P48" s="193">
        <f>IF($L$4="通常",(VLOOKUP($K$7,'モンスター　一覧'!$B$4:$O$198,13,FALSE)*性格一覧!$F39*Lv50時の伸び率!$X39*0.01)*(VLOOKUP($L$3,ギルド一覧!$B$4:$R$29,10,FALSE)),(VLOOKUP($K$7,'モンスター　一覧'!$B$4:$O$198,13,FALSE)*性格一覧!$F39*Lv50時の伸び率!$X39*0.01)*(VLOOKUP($L$3,ギルド一覧!$B$4:$R$29,16,FALSE)))</f>
        <v>223.68659793814433</v>
      </c>
      <c r="Q48" s="194">
        <f>IF($L$4="通常",(VLOOKUP($K$7,'モンスター　一覧'!$B$4:$O$198,14,FALSE)*性格一覧!$G39*Lv50時の伸び率!$Y39*0.01)*(VLOOKUP($L$3,ギルド一覧!$B$4:$R$29,11,FALSE)),(VLOOKUP($K$7,'モンスター　一覧'!$B$4:$O$198,14,FALSE)*性格一覧!$G39*Lv50時の伸び率!$Y39*0.01)*VLOOKUP($L$3,ギルド一覧!$B$4:$R$29,17,FALSE))</f>
        <v>151.26050420168067</v>
      </c>
      <c r="R48" s="205">
        <f t="shared" si="1"/>
        <v>1090.4083264800011</v>
      </c>
      <c r="T48" s="64" t="s">
        <v>57</v>
      </c>
      <c r="U48" s="193">
        <f>IF($U$4="通常",(VLOOKUP($T$7,'モンスター　一覧'!$B$4:$O$198,9,FALSE)*性格一覧!$B39*Lv50時の伸び率!$T39*0.01)*(VLOOKUP($U$3,ギルド一覧!$B$4:$R$29,6,FALSE)),(VLOOKUP($T$7,'モンスター　一覧'!$B$4:$O$198,9,FALSE)*性格一覧!$B39*Lv50時の伸び率!$T39*0.01)*(VLOOKUP($U$3,ギルド一覧!$B$4:$R$29,12,FALSE)))</f>
        <v>329.29032258064518</v>
      </c>
      <c r="V48" s="193">
        <f>IF($T$4="通常",(VLOOKUP($T$7,'モンスター　一覧'!$B$4:$O$198,10,FALSE)*性格一覧!$C39*Lv50時の伸び率!$U39*0.01)*(VLOOKUP($U$3,ギルド一覧!$B$4:$R$29,7,FALSE)),(VLOOKUP($T$7,'モンスター　一覧'!$B$4:$O$198,10,FALSE)*性格一覧!$C39*Lv50時の伸び率!$U39*0.01)*(VLOOKUP($U$3,ギルド一覧!$B$4:$R$29,13,FALSE)))</f>
        <v>138.93749999999997</v>
      </c>
      <c r="W48" s="193">
        <f>IF($U$4="通常",(VLOOKUP($T$7,'モンスター　一覧'!$B$4:$O$198,11,FALSE)*性格一覧!$D39*Lv50時の伸び率!$V39*0.01)*(VLOOKUP($U$3,ギルド一覧!$B$4:$R$29,8,FALSE)),(VLOOKUP($T$7,'モンスター　一覧'!$B$4:$O$198,11,FALSE)*性格一覧!$D39*Lv50時の伸び率!$V39*0.01)*(VLOOKUP($C$3,ギルド一覧!$B$4:$R$29,14,FALSE)))</f>
        <v>179.06666666666663</v>
      </c>
      <c r="X48" s="193">
        <f>IF($U$4="通常",(VLOOKUP($T$7,'モンスター　一覧'!$B$4:$O$198,12,FALSE)*性格一覧!$E39*Lv50時の伸び率!$W39*0.01)*(VLOOKUP($U$3,ギルド一覧!$B$4:$R$29,9,FALSE)),(VLOOKUP($T$7,'モンスター　一覧'!$B$4:$O$198,12,FALSE)*性格一覧!$E39*Lv50時の伸び率!$W39*0.01)*(VLOOKUP($U$3,ギルド一覧!$B$4:$R$29,15,FALSE)))</f>
        <v>140.78181818181815</v>
      </c>
      <c r="Y48" s="193">
        <f>IF($U$4="通常",(VLOOKUP($T$7,'モンスター　一覧'!$B$4:$O$198,13,FALSE)*性格一覧!$F39*Lv50時の伸び率!$X39*0.01)*(VLOOKUP($U$3,ギルド一覧!$B$4:$R$29,10,FALSE)),(VLOOKUP($T$7,'モンスター　一覧'!$B$4:$O$198,13,FALSE)*性格一覧!$F39*Lv50時の伸び率!$X39*0.01)*(VLOOKUP($U$3,ギルド一覧!$B$4:$R$29,16,FALSE)))</f>
        <v>161.46391752577318</v>
      </c>
      <c r="Z48" s="194">
        <f>IF($U$4="通常",(VLOOKUP($T$7,'モンスター　一覧'!$B$4:$O$198,14,FALSE)*性格一覧!$G39*Lv50時の伸び率!$Y39*0.01)*(VLOOKUP($U$3,ギルド一覧!$B$4:$R$29,11,FALSE)),(VLOOKUP($T$7,'モンスター　一覧'!$B$4:$O$198,14,FALSE)*性格一覧!$G39*Lv50時の伸び率!$Y39*0.01)*VLOOKUP($U$3,ギルド一覧!$B$4:$R$29,17,FALSE))</f>
        <v>240.12605042016807</v>
      </c>
      <c r="AA48" s="205">
        <f t="shared" si="2"/>
        <v>1189.6662753750711</v>
      </c>
      <c r="AC48" s="152" t="s">
        <v>153</v>
      </c>
      <c r="AD48" s="219"/>
    </row>
    <row r="49" spans="2:30" s="55" customFormat="1">
      <c r="B49" s="64" t="s">
        <v>58</v>
      </c>
      <c r="C49" s="193">
        <f>IF($C$4="通常",(VLOOKUP($B$7,'モンスター　一覧'!$B$4:$O$198,9,FALSE)*性格一覧!$B40*Lv50時の伸び率!T40*0.01)*(VLOOKUP($C$3,ギルド一覧!$B$4:$R$29,6,FALSE)),(VLOOKUP($B$7,'モンスター　一覧'!$B$4:$O$198,9,FALSE)*性格一覧!$B40*Lv50時の伸び率!T40*0.01)*(VLOOKUP($C$3,ギルド一覧!$B$4:$R$29,12,FALSE)))</f>
        <v>334.05405405405406</v>
      </c>
      <c r="D49" s="193">
        <f>IF($C$4="通常",(VLOOKUP($B$7,'モンスター　一覧'!$B$4:$O$198,10,FALSE)*性格一覧!$C40*Lv50時の伸び率!U40*0.01)*(VLOOKUP($C$3,ギルド一覧!$B$4:$R$29,7,FALSE)),(VLOOKUP($B$7,'モンスター　一覧'!$B$4:$O$198,10,FALSE)*性格一覧!$C40*Lv50時の伸び率!U40*0.01)*(VLOOKUP($C$3,ギルド一覧!$B$4:$R$29,13,FALSE)))</f>
        <v>56.451612903225808</v>
      </c>
      <c r="E49" s="193">
        <f>IF($C$4="通常",(VLOOKUP($B$7,'モンスター　一覧'!$B$4:$O$198,11,FALSE)*性格一覧!$D40*Lv50時の伸び率!V40*0.01)*(VLOOKUP($C$3,ギルド一覧!$B$4:$R$29,8,FALSE)),(VLOOKUP($B$7,'モンスター　一覧'!$B$4:$O$198,11,FALSE)*性格一覧!$D40*Lv50時の伸び率!V40*0.01)*(VLOOKUP($C$3,ギルド一覧!$B$4:$R$29,14,FALSE)))</f>
        <v>242.47154471544712</v>
      </c>
      <c r="F49" s="193">
        <f>IF($C$4="通常",(VLOOKUP($B$7,'モンスター　一覧'!$B$4:$O$198,12,FALSE)*性格一覧!$E40*Lv50時の伸び率!W40*0.01)*(VLOOKUP($C$3,ギルド一覧!$B$4:$R$29,9,FALSE)),(VLOOKUP($B$7,'モンスター　一覧'!$B$4:$O$198,12,FALSE)*性格一覧!$E40*Lv50時の伸び率!W40*0.01)*(VLOOKUP($C$3,ギルド一覧!$B$4:$R$29,15,FALSE)))</f>
        <v>58.854545454545452</v>
      </c>
      <c r="G49" s="193">
        <f>IF($C$4="通常",(VLOOKUP($B$7,'モンスター　一覧'!$B$4:$O$198,13,FALSE)*性格一覧!$F40*Lv50時の伸び率!X40*0.01)*(VLOOKUP($C$3,ギルド一覧!$B$4:$R$29,10,FALSE)),(VLOOKUP($B$7,'モンスター　一覧'!$B$4:$O$198,13,FALSE)*性格一覧!$F40*Lv50時の伸び率!X40*0.01)*(VLOOKUP($C$3,ギルド一覧!$B$4:$R$29,16,FALSE)))</f>
        <v>71.035714285714292</v>
      </c>
      <c r="H49" s="201">
        <f>IF($C$4="通常",(VLOOKUP($B$7,'モンスター　一覧'!$B$4:$O$198,14,FALSE)*性格一覧!$G40*Lv50時の伸び率!Y40*0.01)*(VLOOKUP($C$3,ギルド一覧!$B$4:$R$29,11,FALSE)),(VLOOKUP($B$7,'モンスター　一覧'!$B$4:$O$198,14,FALSE)*性格一覧!$G40*Lv50時の伸び率!Y40*0.01)*VLOOKUP($C$3,ギルド一覧!$B$4:$R$29,17,FALSE))</f>
        <v>37.333333333333336</v>
      </c>
      <c r="I49" s="205">
        <f t="shared" si="0"/>
        <v>800.20080474632016</v>
      </c>
      <c r="J49" s="56"/>
      <c r="K49" s="198" t="s">
        <v>58</v>
      </c>
      <c r="L49" s="193">
        <f>IF($L$4="通常",(VLOOKUP($K$7,'モンスター　一覧'!$B$4:$O$198,9,FALSE)*性格一覧!$B40*Lv50時の伸び率!$T40*0.01)*(VLOOKUP($C$3,ギルド一覧!$B$4:$R$29,6,FALSE)),(VLOOKUP($K$7,'モンスター　一覧'!$B$4:$O$198,9,FALSE)*性格一覧!$B40*Lv50時の伸び率!$T40*0.01)*(VLOOKUP($C$3,ギルド一覧!$B$4:$R$29,12,FALSE)))</f>
        <v>222.70270270270271</v>
      </c>
      <c r="M49" s="193">
        <f>IF($L$4="通常",(VLOOKUP($K$7,'モンスター　一覧'!$B$4:$O$198,10,FALSE)*性格一覧!$C40*Lv50時の伸び率!$U40*0.01)*(VLOOKUP($L$3,ギルド一覧!$B$4:$R$29,7,FALSE)),(VLOOKUP($K$7,'モンスター　一覧'!$B$4:$O$198,10,FALSE)*性格一覧!$C40*Lv50時の伸び率!$U40*0.01)*(VLOOKUP($L$3,ギルド一覧!$B$4:$R$29,13,FALSE)))</f>
        <v>96.774193548387089</v>
      </c>
      <c r="N49" s="193">
        <f>IF($L$4="通常",(VLOOKUP($K$7,'モンスター　一覧'!$B$4:$O$198,11,FALSE)*性格一覧!$D40*Lv50時の伸び率!$V40*0.01)*(VLOOKUP($L$3,ギルド一覧!$B$4:$R$29,8,FALSE)),(VLOOKUP($K$7,'モンスター　一覧'!$B$4:$O$198,11,FALSE)*性格一覧!$D40*Lv50時の伸び率!$V40*0.01)*(VLOOKUP($C$3,ギルド一覧!$B$4:$R$29,14,FALSE)))</f>
        <v>181.85365853658536</v>
      </c>
      <c r="O49" s="193">
        <f>IF($L$4="通常",(VLOOKUP($K$7,'モンスター　一覧'!$B$4:$O$198,12,FALSE)*性格一覧!$E40*Lv50時の伸び率!$W40*0.01)*(VLOOKUP($L$3,ギルド一覧!$B$4:$R$29,9,FALSE)),(VLOOKUP($K$7,'モンスター　一覧'!$B$4:$O$198,12,FALSE)*性格一覧!$E40*Lv50時の伸び率!$W40*0.01)*(VLOOKUP($L$3,ギルド一覧!$B$4:$R$29,15,FALSE)))</f>
        <v>282.95454545454544</v>
      </c>
      <c r="P49" s="193">
        <f>IF($L$4="通常",(VLOOKUP($K$7,'モンスター　一覧'!$B$4:$O$198,13,FALSE)*性格一覧!$F40*Lv50時の伸び率!$X40*0.01)*(VLOOKUP($L$3,ギルド一覧!$B$4:$R$29,10,FALSE)),(VLOOKUP($K$7,'モンスター　一覧'!$B$4:$O$198,13,FALSE)*性格一覧!$F40*Lv50時の伸び率!$X40*0.01)*(VLOOKUP($L$3,ギルド一覧!$B$4:$R$29,16,FALSE)))</f>
        <v>158.22857142857143</v>
      </c>
      <c r="Q49" s="194">
        <f>IF($L$4="通常",(VLOOKUP($K$7,'モンスター　一覧'!$B$4:$O$198,14,FALSE)*性格一覧!$G40*Lv50時の伸び率!$Y40*0.01)*(VLOOKUP($L$3,ギルド一覧!$B$4:$R$29,11,FALSE)),(VLOOKUP($K$7,'モンスター　一覧'!$B$4:$O$198,14,FALSE)*性格一覧!$G40*Lv50時の伸び率!$Y40*0.01)*VLOOKUP($L$3,ギルド一覧!$B$4:$R$29,17,FALSE))</f>
        <v>213.33333333333331</v>
      </c>
      <c r="R49" s="205">
        <f t="shared" si="1"/>
        <v>1155.8470050041253</v>
      </c>
      <c r="T49" s="64" t="s">
        <v>58</v>
      </c>
      <c r="U49" s="193">
        <f>IF($U$4="通常",(VLOOKUP($T$7,'モンスター　一覧'!$B$4:$O$198,9,FALSE)*性格一覧!$B40*Lv50時の伸び率!$T40*0.01)*(VLOOKUP($U$3,ギルド一覧!$B$4:$R$29,6,FALSE)),(VLOOKUP($T$7,'モンスター　一覧'!$B$4:$O$198,9,FALSE)*性格一覧!$B40*Lv50時の伸び率!$T40*0.01)*(VLOOKUP($U$3,ギルド一覧!$B$4:$R$29,12,FALSE)))</f>
        <v>356.32432432432432</v>
      </c>
      <c r="V49" s="193">
        <f>IF($T$4="通常",(VLOOKUP($T$7,'モンスター　一覧'!$B$4:$O$198,10,FALSE)*性格一覧!$C40*Lv50時の伸び率!$U40*0.01)*(VLOOKUP($U$3,ギルド一覧!$B$4:$R$29,7,FALSE)),(VLOOKUP($T$7,'モンスター　一覧'!$B$4:$O$198,10,FALSE)*性格一覧!$C40*Lv50時の伸び率!$U40*0.01)*(VLOOKUP($U$3,ギルド一覧!$B$4:$R$29,13,FALSE)))</f>
        <v>122.58064516129031</v>
      </c>
      <c r="W49" s="193">
        <f>IF($U$4="通常",(VLOOKUP($T$7,'モンスター　一覧'!$B$4:$O$198,11,FALSE)*性格一覧!$D40*Lv50時の伸び率!$V40*0.01)*(VLOOKUP($U$3,ギルド一覧!$B$4:$R$29,8,FALSE)),(VLOOKUP($T$7,'モンスター　一覧'!$B$4:$O$198,11,FALSE)*性格一覧!$D40*Lv50時の伸び率!$V40*0.01)*(VLOOKUP($C$3,ギルド一覧!$B$4:$R$29,14,FALSE)))</f>
        <v>161.01626016260161</v>
      </c>
      <c r="X49" s="193">
        <f>IF($U$4="通常",(VLOOKUP($T$7,'モンスター　一覧'!$B$4:$O$198,12,FALSE)*性格一覧!$E40*Lv50時の伸び率!$W40*0.01)*(VLOOKUP($U$3,ギルド一覧!$B$4:$R$29,9,FALSE)),(VLOOKUP($T$7,'モンスター　一覧'!$B$4:$O$198,12,FALSE)*性格一覧!$E40*Lv50時の伸び率!$W40*0.01)*(VLOOKUP($U$3,ギルド一覧!$B$4:$R$29,15,FALSE)))</f>
        <v>201.46363636363637</v>
      </c>
      <c r="Y49" s="193">
        <f>IF($U$4="通常",(VLOOKUP($T$7,'モンスター　一覧'!$B$4:$O$198,13,FALSE)*性格一覧!$F40*Lv50時の伸び率!$X40*0.01)*(VLOOKUP($U$3,ギルド一覧!$B$4:$R$29,10,FALSE)),(VLOOKUP($T$7,'モンスター　一覧'!$B$4:$O$198,13,FALSE)*性格一覧!$F40*Lv50時の伸び率!$X40*0.01)*(VLOOKUP($U$3,ギルド一覧!$B$4:$R$29,16,FALSE)))</f>
        <v>114.21428571428571</v>
      </c>
      <c r="Z49" s="194">
        <f>IF($U$4="通常",(VLOOKUP($T$7,'モンスター　一覧'!$B$4:$O$198,14,FALSE)*性格一覧!$G40*Lv50時の伸び率!$Y40*0.01)*(VLOOKUP($U$3,ギルド一覧!$B$4:$R$29,11,FALSE)),(VLOOKUP($T$7,'モンスター　一覧'!$B$4:$O$198,14,FALSE)*性格一覧!$G40*Lv50時の伸び率!$Y40*0.01)*VLOOKUP($U$3,ギルド一覧!$B$4:$R$29,17,FALSE))</f>
        <v>338.66666666666663</v>
      </c>
      <c r="AA49" s="205">
        <f t="shared" si="2"/>
        <v>1294.2658183928049</v>
      </c>
      <c r="AC49" s="152" t="s">
        <v>184</v>
      </c>
      <c r="AD49" s="235"/>
    </row>
    <row r="50" spans="2:30" s="55" customFormat="1" ht="12">
      <c r="B50" s="64" t="s">
        <v>59</v>
      </c>
      <c r="C50" s="193">
        <f>IF($C$4="通常",(VLOOKUP($B$7,'モンスター　一覧'!$B$4:$O$198,9,FALSE)*性格一覧!$B41*Lv50時の伸び率!T41*0.01)*(VLOOKUP($C$3,ギルド一覧!$B$4:$R$29,6,FALSE)),(VLOOKUP($B$7,'モンスター　一覧'!$B$4:$O$198,9,FALSE)*性格一覧!$B41*Lv50時の伸び率!T41*0.01)*(VLOOKUP($C$3,ギルド一覧!$B$4:$R$29,12,FALSE)))</f>
        <v>325.13513513513516</v>
      </c>
      <c r="D50" s="193">
        <f>IF($C$4="通常",(VLOOKUP($B$7,'モンスター　一覧'!$B$4:$O$198,10,FALSE)*性格一覧!$C41*Lv50時の伸び率!U41*0.01)*(VLOOKUP($C$3,ギルド一覧!$B$4:$R$29,7,FALSE)),(VLOOKUP($B$7,'モンスター　一覧'!$B$4:$O$198,10,FALSE)*性格一覧!$C41*Lv50時の伸び率!U41*0.01)*(VLOOKUP($C$3,ギルド一覧!$B$4:$R$29,13,FALSE)))</f>
        <v>58.709677419354847</v>
      </c>
      <c r="E50" s="193">
        <f>IF($C$4="通常",(VLOOKUP($B$7,'モンスター　一覧'!$B$4:$O$198,11,FALSE)*性格一覧!$D41*Lv50時の伸び率!V41*0.01)*(VLOOKUP($C$3,ギルド一覧!$B$4:$R$29,8,FALSE)),(VLOOKUP($B$7,'モンスター　一覧'!$B$4:$O$198,11,FALSE)*性格一覧!$D41*Lv50時の伸び率!V41*0.01)*(VLOOKUP($C$3,ギルド一覧!$B$4:$R$29,14,FALSE)))</f>
        <v>242.47154471544712</v>
      </c>
      <c r="F50" s="193">
        <f>IF($C$4="通常",(VLOOKUP($B$7,'モンスター　一覧'!$B$4:$O$198,12,FALSE)*性格一覧!$E41*Lv50時の伸び率!W41*0.01)*(VLOOKUP($C$3,ギルド一覧!$B$4:$R$29,9,FALSE)),(VLOOKUP($B$7,'モンスター　一覧'!$B$4:$O$198,12,FALSE)*性格一覧!$E41*Lv50時の伸び率!W41*0.01)*(VLOOKUP($C$3,ギルド一覧!$B$4:$R$29,15,FALSE)))</f>
        <v>48.45454545454546</v>
      </c>
      <c r="G50" s="193">
        <f>IF($C$4="通常",(VLOOKUP($B$7,'モンスター　一覧'!$B$4:$O$198,13,FALSE)*性格一覧!$F41*Lv50時の伸び率!X41*0.01)*(VLOOKUP($C$3,ギルド一覧!$B$4:$R$29,10,FALSE)),(VLOOKUP($B$7,'モンスター　一覧'!$B$4:$O$198,13,FALSE)*性格一覧!$F41*Lv50時の伸び率!X41*0.01)*(VLOOKUP($C$3,ギルド一覧!$B$4:$R$29,16,FALSE)))</f>
        <v>84.696428571428569</v>
      </c>
      <c r="H50" s="201">
        <f>IF($C$4="通常",(VLOOKUP($B$7,'モンスター　一覧'!$B$4:$O$198,14,FALSE)*性格一覧!$G41*Lv50時の伸び率!Y41*0.01)*(VLOOKUP($C$3,ギルド一覧!$B$4:$R$29,11,FALSE)),(VLOOKUP($B$7,'モンスター　一覧'!$B$4:$O$198,14,FALSE)*性格一覧!$G41*Lv50時の伸び率!Y41*0.01)*VLOOKUP($C$3,ギルド一覧!$B$4:$R$29,17,FALSE))</f>
        <v>27.575757575757574</v>
      </c>
      <c r="I50" s="205">
        <f t="shared" si="0"/>
        <v>787.04308887166872</v>
      </c>
      <c r="J50" s="56"/>
      <c r="K50" s="198" t="s">
        <v>59</v>
      </c>
      <c r="L50" s="193">
        <f>IF($L$4="通常",(VLOOKUP($K$7,'モンスター　一覧'!$B$4:$O$198,9,FALSE)*性格一覧!$B41*Lv50時の伸び率!$T41*0.01)*(VLOOKUP($C$3,ギルド一覧!$B$4:$R$29,6,FALSE)),(VLOOKUP($K$7,'モンスター　一覧'!$B$4:$O$198,9,FALSE)*性格一覧!$B41*Lv50時の伸び率!$T41*0.01)*(VLOOKUP($C$3,ギルド一覧!$B$4:$R$29,12,FALSE)))</f>
        <v>216.75675675675677</v>
      </c>
      <c r="M50" s="193">
        <f>IF($L$4="通常",(VLOOKUP($K$7,'モンスター　一覧'!$B$4:$O$198,10,FALSE)*性格一覧!$C41*Lv50時の伸び率!$U41*0.01)*(VLOOKUP($L$3,ギルド一覧!$B$4:$R$29,7,FALSE)),(VLOOKUP($K$7,'モンスター　一覧'!$B$4:$O$198,10,FALSE)*性格一覧!$C41*Lv50時の伸び率!$U41*0.01)*(VLOOKUP($L$3,ギルド一覧!$B$4:$R$29,13,FALSE)))</f>
        <v>100.64516129032259</v>
      </c>
      <c r="N50" s="193">
        <f>IF($L$4="通常",(VLOOKUP($K$7,'モンスター　一覧'!$B$4:$O$198,11,FALSE)*性格一覧!$D41*Lv50時の伸び率!$V41*0.01)*(VLOOKUP($L$3,ギルド一覧!$B$4:$R$29,8,FALSE)),(VLOOKUP($K$7,'モンスター　一覧'!$B$4:$O$198,11,FALSE)*性格一覧!$D41*Lv50時の伸び率!$V41*0.01)*(VLOOKUP($C$3,ギルド一覧!$B$4:$R$29,14,FALSE)))</f>
        <v>181.85365853658536</v>
      </c>
      <c r="O50" s="193">
        <f>IF($L$4="通常",(VLOOKUP($K$7,'モンスター　一覧'!$B$4:$O$198,12,FALSE)*性格一覧!$E41*Lv50時の伸び率!$W41*0.01)*(VLOOKUP($L$3,ギルド一覧!$B$4:$R$29,9,FALSE)),(VLOOKUP($K$7,'モンスター　一覧'!$B$4:$O$198,12,FALSE)*性格一覧!$E41*Lv50時の伸び率!$W41*0.01)*(VLOOKUP($L$3,ギルド一覧!$B$4:$R$29,15,FALSE)))</f>
        <v>232.9545454545455</v>
      </c>
      <c r="P50" s="193">
        <f>IF($L$4="通常",(VLOOKUP($K$7,'モンスター　一覧'!$B$4:$O$198,13,FALSE)*性格一覧!$F41*Lv50時の伸び率!$X41*0.01)*(VLOOKUP($L$3,ギルド一覧!$B$4:$R$29,10,FALSE)),(VLOOKUP($K$7,'モンスター　一覧'!$B$4:$O$198,13,FALSE)*性格一覧!$F41*Lv50時の伸び率!$X41*0.01)*(VLOOKUP($L$3,ギルド一覧!$B$4:$R$29,16,FALSE)))</f>
        <v>188.65714285714287</v>
      </c>
      <c r="Q50" s="194">
        <f>IF($L$4="通常",(VLOOKUP($K$7,'モンスター　一覧'!$B$4:$O$198,14,FALSE)*性格一覧!$G41*Lv50時の伸び率!$Y41*0.01)*(VLOOKUP($L$3,ギルド一覧!$B$4:$R$29,11,FALSE)),(VLOOKUP($K$7,'モンスター　一覧'!$B$4:$O$198,14,FALSE)*性格一覧!$G41*Lv50時の伸び率!$Y41*0.01)*VLOOKUP($L$3,ギルド一覧!$B$4:$R$29,17,FALSE))</f>
        <v>157.57575757575759</v>
      </c>
      <c r="R50" s="205">
        <f t="shared" si="1"/>
        <v>1078.4430224711107</v>
      </c>
      <c r="T50" s="64" t="s">
        <v>59</v>
      </c>
      <c r="U50" s="193">
        <f>IF($U$4="通常",(VLOOKUP($T$7,'モンスター　一覧'!$B$4:$O$198,9,FALSE)*性格一覧!$B41*Lv50時の伸び率!$T41*0.01)*(VLOOKUP($U$3,ギルド一覧!$B$4:$R$29,6,FALSE)),(VLOOKUP($T$7,'モンスター　一覧'!$B$4:$O$198,9,FALSE)*性格一覧!$B41*Lv50時の伸び率!$T41*0.01)*(VLOOKUP($U$3,ギルド一覧!$B$4:$R$29,12,FALSE)))</f>
        <v>346.81081081081078</v>
      </c>
      <c r="V50" s="193">
        <f>IF($T$4="通常",(VLOOKUP($T$7,'モンスター　一覧'!$B$4:$O$198,10,FALSE)*性格一覧!$C41*Lv50時の伸び率!$U41*0.01)*(VLOOKUP($U$3,ギルド一覧!$B$4:$R$29,7,FALSE)),(VLOOKUP($T$7,'モンスター　一覧'!$B$4:$O$198,10,FALSE)*性格一覧!$C41*Lv50時の伸び率!$U41*0.01)*(VLOOKUP($U$3,ギルド一覧!$B$4:$R$29,13,FALSE)))</f>
        <v>127.48387096774195</v>
      </c>
      <c r="W50" s="193">
        <f>IF($U$4="通常",(VLOOKUP($T$7,'モンスター　一覧'!$B$4:$O$198,11,FALSE)*性格一覧!$D41*Lv50時の伸び率!$V41*0.01)*(VLOOKUP($U$3,ギルド一覧!$B$4:$R$29,8,FALSE)),(VLOOKUP($T$7,'モンスター　一覧'!$B$4:$O$198,11,FALSE)*性格一覧!$D41*Lv50時の伸び率!$V41*0.01)*(VLOOKUP($C$3,ギルド一覧!$B$4:$R$29,14,FALSE)))</f>
        <v>161.01626016260161</v>
      </c>
      <c r="X50" s="193">
        <f>IF($U$4="通常",(VLOOKUP($T$7,'モンスター　一覧'!$B$4:$O$198,12,FALSE)*性格一覧!$E41*Lv50時の伸び率!$W41*0.01)*(VLOOKUP($U$3,ギルド一覧!$B$4:$R$29,9,FALSE)),(VLOOKUP($T$7,'モンスター　一覧'!$B$4:$O$198,12,FALSE)*性格一覧!$E41*Lv50時の伸び率!$W41*0.01)*(VLOOKUP($U$3,ギルド一覧!$B$4:$R$29,15,FALSE)))</f>
        <v>165.86363636363637</v>
      </c>
      <c r="Y50" s="193">
        <f>IF($U$4="通常",(VLOOKUP($T$7,'モンスター　一覧'!$B$4:$O$198,13,FALSE)*性格一覧!$F41*Lv50時の伸び率!$X41*0.01)*(VLOOKUP($U$3,ギルド一覧!$B$4:$R$29,10,FALSE)),(VLOOKUP($T$7,'モンスター　一覧'!$B$4:$O$198,13,FALSE)*性格一覧!$F41*Lv50時の伸び率!$X41*0.01)*(VLOOKUP($U$3,ギルド一覧!$B$4:$R$29,16,FALSE)))</f>
        <v>136.17857142857144</v>
      </c>
      <c r="Z50" s="194">
        <f>IF($U$4="通常",(VLOOKUP($T$7,'モンスター　一覧'!$B$4:$O$198,14,FALSE)*性格一覧!$G41*Lv50時の伸び率!$Y41*0.01)*(VLOOKUP($U$3,ギルド一覧!$B$4:$R$29,11,FALSE)),(VLOOKUP($T$7,'モンスター　一覧'!$B$4:$O$198,14,FALSE)*性格一覧!$G41*Lv50時の伸び率!$Y41*0.01)*VLOOKUP($U$3,ギルド一覧!$B$4:$R$29,17,FALSE))</f>
        <v>250.15151515151516</v>
      </c>
      <c r="AA50" s="205">
        <f t="shared" si="2"/>
        <v>1187.5046648848775</v>
      </c>
      <c r="AC50" s="152" t="s">
        <v>142</v>
      </c>
      <c r="AD50" s="219"/>
    </row>
    <row r="51" spans="2:30" s="55" customFormat="1">
      <c r="B51" s="64" t="s">
        <v>61</v>
      </c>
      <c r="C51" s="193">
        <f>IF($C$4="通常",(VLOOKUP($B$7,'モンスター　一覧'!$B$4:$O$198,9,FALSE)*性格一覧!$B42*Lv50時の伸び率!T42*0.01)*(VLOOKUP($C$3,ギルド一覧!$B$4:$R$29,6,FALSE)),(VLOOKUP($B$7,'モンスター　一覧'!$B$4:$O$198,9,FALSE)*性格一覧!$B42*Lv50時の伸び率!T42*0.01)*(VLOOKUP($C$3,ギルド一覧!$B$4:$R$29,12,FALSE)))</f>
        <v>330</v>
      </c>
      <c r="D51" s="193">
        <f>IF($C$4="通常",(VLOOKUP($B$7,'モンスター　一覧'!$B$4:$O$198,10,FALSE)*性格一覧!$C42*Lv50時の伸び率!U42*0.01)*(VLOOKUP($C$3,ギルド一覧!$B$4:$R$29,7,FALSE)),(VLOOKUP($B$7,'モンスター　一覧'!$B$4:$O$198,10,FALSE)*性格一覧!$C42*Lv50時の伸び率!U42*0.01)*(VLOOKUP($C$3,ギルド一覧!$B$4:$R$29,13,FALSE)))</f>
        <v>49.677419354838712</v>
      </c>
      <c r="E51" s="193">
        <f>IF($C$4="通常",(VLOOKUP($B$7,'モンスター　一覧'!$B$4:$O$198,11,FALSE)*性格一覧!$D42*Lv50時の伸び率!V42*0.01)*(VLOOKUP($C$3,ギルド一覧!$B$4:$R$29,8,FALSE)),(VLOOKUP($B$7,'モンスター　一覧'!$B$4:$O$198,11,FALSE)*性格一覧!$D42*Lv50時の伸び率!V42*0.01)*(VLOOKUP($C$3,ギルド一覧!$B$4:$R$29,14,FALSE)))</f>
        <v>286.17886178861789</v>
      </c>
      <c r="F51" s="193">
        <f>IF($C$4="通常",(VLOOKUP($B$7,'モンスター　一覧'!$B$4:$O$198,12,FALSE)*性格一覧!$E42*Lv50時の伸び率!W42*0.01)*(VLOOKUP($C$3,ギルド一覧!$B$4:$R$29,9,FALSE)),(VLOOKUP($B$7,'モンスター　一覧'!$B$4:$O$198,12,FALSE)*性格一覧!$E42*Lv50時の伸び率!W42*0.01)*(VLOOKUP($C$3,ギルド一覧!$B$4:$R$29,15,FALSE)))</f>
        <v>40.418181818181814</v>
      </c>
      <c r="G51" s="193">
        <f>IF($C$4="通常",(VLOOKUP($B$7,'モンスター　一覧'!$B$4:$O$198,13,FALSE)*性格一覧!$F42*Lv50時の伸び率!X42*0.01)*(VLOOKUP($C$3,ギルド一覧!$B$4:$R$29,10,FALSE)),(VLOOKUP($B$7,'モンスター　一覧'!$B$4:$O$198,13,FALSE)*性格一覧!$F42*Lv50時の伸び率!X42*0.01)*(VLOOKUP($C$3,ギルド一覧!$B$4:$R$29,16,FALSE)))</f>
        <v>87.428571428571431</v>
      </c>
      <c r="H51" s="201">
        <f>IF($C$4="通常",(VLOOKUP($B$7,'モンスター　一覧'!$B$4:$O$198,14,FALSE)*性格一覧!$G42*Lv50時の伸び率!Y42*0.01)*(VLOOKUP($C$3,ギルド一覧!$B$4:$R$29,11,FALSE)),(VLOOKUP($B$7,'モンスター　一覧'!$B$4:$O$198,14,FALSE)*性格一覧!$G42*Lv50時の伸び率!Y42*0.01)*VLOOKUP($C$3,ギルド一覧!$B$4:$R$29,17,FALSE))</f>
        <v>18.666666666666668</v>
      </c>
      <c r="I51" s="205">
        <f t="shared" si="0"/>
        <v>812.36970105687647</v>
      </c>
      <c r="J51" s="56"/>
      <c r="K51" s="198" t="s">
        <v>61</v>
      </c>
      <c r="L51" s="193">
        <f>IF($L$4="通常",(VLOOKUP($K$7,'モンスター　一覧'!$B$4:$O$198,9,FALSE)*性格一覧!$B42*Lv50時の伸び率!$T42*0.01)*(VLOOKUP($C$3,ギルド一覧!$B$4:$R$29,6,FALSE)),(VLOOKUP($K$7,'モンスター　一覧'!$B$4:$O$198,9,FALSE)*性格一覧!$B42*Lv50時の伸び率!$T42*0.01)*(VLOOKUP($C$3,ギルド一覧!$B$4:$R$29,12,FALSE)))</f>
        <v>220</v>
      </c>
      <c r="M51" s="193">
        <f>IF($L$4="通常",(VLOOKUP($K$7,'モンスター　一覧'!$B$4:$O$198,10,FALSE)*性格一覧!$C42*Lv50時の伸び率!$U42*0.01)*(VLOOKUP($L$3,ギルド一覧!$B$4:$R$29,7,FALSE)),(VLOOKUP($K$7,'モンスター　一覧'!$B$4:$O$198,10,FALSE)*性格一覧!$C42*Lv50時の伸び率!$U42*0.01)*(VLOOKUP($L$3,ギルド一覧!$B$4:$R$29,13,FALSE)))</f>
        <v>85.161290322580641</v>
      </c>
      <c r="N51" s="193">
        <f>IF($L$4="通常",(VLOOKUP($K$7,'モンスター　一覧'!$B$4:$O$198,11,FALSE)*性格一覧!$D42*Lv50時の伸び率!$V42*0.01)*(VLOOKUP($L$3,ギルド一覧!$B$4:$R$29,8,FALSE)),(VLOOKUP($K$7,'モンスター　一覧'!$B$4:$O$198,11,FALSE)*性格一覧!$D42*Lv50時の伸び率!$V42*0.01)*(VLOOKUP($C$3,ギルド一覧!$B$4:$R$29,14,FALSE)))</f>
        <v>214.63414634146343</v>
      </c>
      <c r="O51" s="193">
        <f>IF($L$4="通常",(VLOOKUP($K$7,'モンスター　一覧'!$B$4:$O$198,12,FALSE)*性格一覧!$E42*Lv50時の伸び率!$W42*0.01)*(VLOOKUP($L$3,ギルド一覧!$B$4:$R$29,9,FALSE)),(VLOOKUP($K$7,'モンスター　一覧'!$B$4:$O$198,12,FALSE)*性格一覧!$E42*Lv50時の伸び率!$W42*0.01)*(VLOOKUP($L$3,ギルド一覧!$B$4:$R$29,15,FALSE)))</f>
        <v>194.31818181818181</v>
      </c>
      <c r="P51" s="193">
        <f>IF($L$4="通常",(VLOOKUP($K$7,'モンスター　一覧'!$B$4:$O$198,13,FALSE)*性格一覧!$F42*Lv50時の伸び率!$X42*0.01)*(VLOOKUP($L$3,ギルド一覧!$B$4:$R$29,10,FALSE)),(VLOOKUP($K$7,'モンスター　一覧'!$B$4:$O$198,13,FALSE)*性格一覧!$F42*Lv50時の伸び率!$X42*0.01)*(VLOOKUP($L$3,ギルド一覧!$B$4:$R$29,16,FALSE)))</f>
        <v>194.74285714285713</v>
      </c>
      <c r="Q51" s="194">
        <f>IF($L$4="通常",(VLOOKUP($K$7,'モンスター　一覧'!$B$4:$O$198,14,FALSE)*性格一覧!$G42*Lv50時の伸び率!$Y42*0.01)*(VLOOKUP($L$3,ギルド一覧!$B$4:$R$29,11,FALSE)),(VLOOKUP($K$7,'モンスター　一覧'!$B$4:$O$198,14,FALSE)*性格一覧!$G42*Lv50時の伸び率!$Y42*0.01)*VLOOKUP($L$3,ギルド一覧!$B$4:$R$29,17,FALSE))</f>
        <v>106.66666666666666</v>
      </c>
      <c r="R51" s="205">
        <f t="shared" si="1"/>
        <v>1015.5231422917495</v>
      </c>
      <c r="T51" s="64" t="s">
        <v>61</v>
      </c>
      <c r="U51" s="193">
        <f>IF($U$4="通常",(VLOOKUP($T$7,'モンスター　一覧'!$B$4:$O$198,9,FALSE)*性格一覧!$B42*Lv50時の伸び率!$T42*0.01)*(VLOOKUP($U$3,ギルド一覧!$B$4:$R$29,6,FALSE)),(VLOOKUP($T$7,'モンスター　一覧'!$B$4:$O$198,9,FALSE)*性格一覧!$B42*Lv50時の伸び率!$T42*0.01)*(VLOOKUP($U$3,ギルド一覧!$B$4:$R$29,12,FALSE)))</f>
        <v>352</v>
      </c>
      <c r="V51" s="193">
        <f>IF($T$4="通常",(VLOOKUP($T$7,'モンスター　一覧'!$B$4:$O$198,10,FALSE)*性格一覧!$C42*Lv50時の伸び率!$U42*0.01)*(VLOOKUP($U$3,ギルド一覧!$B$4:$R$29,7,FALSE)),(VLOOKUP($T$7,'モンスター　一覧'!$B$4:$O$198,10,FALSE)*性格一覧!$C42*Lv50時の伸び率!$U42*0.01)*(VLOOKUP($U$3,ギルド一覧!$B$4:$R$29,13,FALSE)))</f>
        <v>107.87096774193549</v>
      </c>
      <c r="W51" s="193">
        <f>IF($U$4="通常",(VLOOKUP($T$7,'モンスター　一覧'!$B$4:$O$198,11,FALSE)*性格一覧!$D42*Lv50時の伸び率!$V42*0.01)*(VLOOKUP($U$3,ギルド一覧!$B$4:$R$29,8,FALSE)),(VLOOKUP($T$7,'モンスター　一覧'!$B$4:$O$198,11,FALSE)*性格一覧!$D42*Lv50時の伸び率!$V42*0.01)*(VLOOKUP($C$3,ギルド一覧!$B$4:$R$29,14,FALSE)))</f>
        <v>190.04065040650406</v>
      </c>
      <c r="X51" s="193">
        <f>IF($U$4="通常",(VLOOKUP($T$7,'モンスター　一覧'!$B$4:$O$198,12,FALSE)*性格一覧!$E42*Lv50時の伸び率!$W42*0.01)*(VLOOKUP($U$3,ギルド一覧!$B$4:$R$29,9,FALSE)),(VLOOKUP($T$7,'モンスター　一覧'!$B$4:$O$198,12,FALSE)*性格一覧!$E42*Lv50時の伸び率!$W42*0.01)*(VLOOKUP($U$3,ギルド一覧!$B$4:$R$29,15,FALSE)))</f>
        <v>138.35454545454544</v>
      </c>
      <c r="Y51" s="193">
        <f>IF($U$4="通常",(VLOOKUP($T$7,'モンスター　一覧'!$B$4:$O$198,13,FALSE)*性格一覧!$F42*Lv50時の伸び率!$X42*0.01)*(VLOOKUP($U$3,ギルド一覧!$B$4:$R$29,10,FALSE)),(VLOOKUP($T$7,'モンスター　一覧'!$B$4:$O$198,13,FALSE)*性格一覧!$F42*Lv50時の伸び率!$X42*0.01)*(VLOOKUP($U$3,ギルド一覧!$B$4:$R$29,16,FALSE)))</f>
        <v>140.57142857142858</v>
      </c>
      <c r="Z51" s="194">
        <f>IF($U$4="通常",(VLOOKUP($T$7,'モンスター　一覧'!$B$4:$O$198,14,FALSE)*性格一覧!$G42*Lv50時の伸び率!$Y42*0.01)*(VLOOKUP($U$3,ギルド一覧!$B$4:$R$29,11,FALSE)),(VLOOKUP($T$7,'モンスター　一覧'!$B$4:$O$198,14,FALSE)*性格一覧!$G42*Lv50時の伸び率!$Y42*0.01)*VLOOKUP($U$3,ギルド一覧!$B$4:$R$29,17,FALSE))</f>
        <v>169.33333333333331</v>
      </c>
      <c r="AA51" s="205">
        <f t="shared" si="2"/>
        <v>1098.1709255077469</v>
      </c>
      <c r="AC51" s="152" t="s">
        <v>162</v>
      </c>
      <c r="AD51" s="235"/>
    </row>
    <row r="52" spans="2:30" s="55" customFormat="1" ht="12">
      <c r="B52" s="64" t="s">
        <v>63</v>
      </c>
      <c r="C52" s="193">
        <f>IF($C$4="通常",(VLOOKUP($B$7,'モンスター　一覧'!$B$4:$O$198,9,FALSE)*性格一覧!$B43*Lv50時の伸び率!T43*0.01)*(VLOOKUP($C$3,ギルド一覧!$B$4:$R$29,6,FALSE)),(VLOOKUP($B$7,'モンスター　一覧'!$B$4:$O$198,9,FALSE)*性格一覧!$B43*Lv50時の伸び率!T43*0.01)*(VLOOKUP($C$3,ギルド一覧!$B$4:$R$29,12,FALSE)))</f>
        <v>346.2162162162162</v>
      </c>
      <c r="D52" s="193">
        <f>IF($C$4="通常",(VLOOKUP($B$7,'モンスター　一覧'!$B$4:$O$198,10,FALSE)*性格一覧!$C43*Lv50時の伸び率!U43*0.01)*(VLOOKUP($C$3,ギルド一覧!$B$4:$R$29,7,FALSE)),(VLOOKUP($B$7,'モンスター　一覧'!$B$4:$O$198,10,FALSE)*性格一覧!$C43*Lv50時の伸び率!U43*0.01)*(VLOOKUP($C$3,ギルド一覧!$B$4:$R$29,13,FALSE)))</f>
        <v>59.838709677419345</v>
      </c>
      <c r="E52" s="193">
        <f>IF($C$4="通常",(VLOOKUP($B$7,'モンスター　一覧'!$B$4:$O$198,11,FALSE)*性格一覧!$D43*Lv50時の伸び率!V43*0.01)*(VLOOKUP($C$3,ギルド一覧!$B$4:$R$29,8,FALSE)),(VLOOKUP($B$7,'モンスター　一覧'!$B$4:$O$198,11,FALSE)*性格一覧!$D43*Lv50時の伸び率!V43*0.01)*(VLOOKUP($C$3,ギルド一覧!$B$4:$R$29,14,FALSE)))</f>
        <v>226.86178861788616</v>
      </c>
      <c r="F52" s="193">
        <f>IF($C$4="通常",(VLOOKUP($B$7,'モンスター　一覧'!$B$4:$O$198,12,FALSE)*性格一覧!$E43*Lv50時の伸び率!W43*0.01)*(VLOOKUP($C$3,ギルド一覧!$B$4:$R$29,9,FALSE)),(VLOOKUP($B$7,'モンスター　一覧'!$B$4:$O$198,12,FALSE)*性格一覧!$E43*Lv50時の伸び率!W43*0.01)*(VLOOKUP($C$3,ギルド一覧!$B$4:$R$29,15,FALSE)))</f>
        <v>40.418181818181814</v>
      </c>
      <c r="G52" s="193">
        <f>IF($C$4="通常",(VLOOKUP($B$7,'モンスター　一覧'!$B$4:$O$198,13,FALSE)*性格一覧!$F43*Lv50時の伸び率!X43*0.01)*(VLOOKUP($C$3,ギルド一覧!$B$4:$R$29,10,FALSE)),(VLOOKUP($B$7,'モンスター　一覧'!$B$4:$O$198,13,FALSE)*性格一覧!$F43*Lv50時の伸び率!X43*0.01)*(VLOOKUP($C$3,ギルド一覧!$B$4:$R$29,16,FALSE)))</f>
        <v>102.91071428571429</v>
      </c>
      <c r="H52" s="201">
        <f>IF($C$4="通常",(VLOOKUP($B$7,'モンスター　一覧'!$B$4:$O$198,14,FALSE)*性格一覧!$G43*Lv50時の伸び率!Y43*0.01)*(VLOOKUP($C$3,ギルド一覧!$B$4:$R$29,11,FALSE)),(VLOOKUP($B$7,'モンスター　一覧'!$B$4:$O$198,14,FALSE)*性格一覧!$G43*Lv50時の伸び率!Y43*0.01)*VLOOKUP($C$3,ギルド一覧!$B$4:$R$29,17,FALSE))</f>
        <v>23.757575757575761</v>
      </c>
      <c r="I52" s="205">
        <f t="shared" si="0"/>
        <v>800.00318637299358</v>
      </c>
      <c r="J52" s="56"/>
      <c r="K52" s="198" t="s">
        <v>63</v>
      </c>
      <c r="L52" s="193">
        <f>IF($L$4="通常",(VLOOKUP($K$7,'モンスター　一覧'!$B$4:$O$198,9,FALSE)*性格一覧!$B43*Lv50時の伸び率!$T43*0.01)*(VLOOKUP($C$3,ギルド一覧!$B$4:$R$29,6,FALSE)),(VLOOKUP($K$7,'モンスター　一覧'!$B$4:$O$198,9,FALSE)*性格一覧!$B43*Lv50時の伸び率!$T43*0.01)*(VLOOKUP($C$3,ギルド一覧!$B$4:$R$29,12,FALSE)))</f>
        <v>230.81081081081081</v>
      </c>
      <c r="M52" s="193">
        <f>IF($L$4="通常",(VLOOKUP($K$7,'モンスター　一覧'!$B$4:$O$198,10,FALSE)*性格一覧!$C43*Lv50時の伸び率!$U43*0.01)*(VLOOKUP($L$3,ギルド一覧!$B$4:$R$29,7,FALSE)),(VLOOKUP($K$7,'モンスター　一覧'!$B$4:$O$198,10,FALSE)*性格一覧!$C43*Lv50時の伸び率!$U43*0.01)*(VLOOKUP($L$3,ギルド一覧!$B$4:$R$29,13,FALSE)))</f>
        <v>102.58064516129032</v>
      </c>
      <c r="N52" s="193">
        <f>IF($L$4="通常",(VLOOKUP($K$7,'モンスター　一覧'!$B$4:$O$198,11,FALSE)*性格一覧!$D43*Lv50時の伸び率!$V43*0.01)*(VLOOKUP($L$3,ギルド一覧!$B$4:$R$29,8,FALSE)),(VLOOKUP($K$7,'モンスター　一覧'!$B$4:$O$198,11,FALSE)*性格一覧!$D43*Lv50時の伸び率!$V43*0.01)*(VLOOKUP($C$3,ギルド一覧!$B$4:$R$29,14,FALSE)))</f>
        <v>170.14634146341461</v>
      </c>
      <c r="O52" s="193">
        <f>IF($L$4="通常",(VLOOKUP($K$7,'モンスター　一覧'!$B$4:$O$198,12,FALSE)*性格一覧!$E43*Lv50時の伸び率!$W43*0.01)*(VLOOKUP($L$3,ギルド一覧!$B$4:$R$29,9,FALSE)),(VLOOKUP($K$7,'モンスター　一覧'!$B$4:$O$198,12,FALSE)*性格一覧!$E43*Lv50時の伸び率!$W43*0.01)*(VLOOKUP($L$3,ギルド一覧!$B$4:$R$29,15,FALSE)))</f>
        <v>194.31818181818181</v>
      </c>
      <c r="P52" s="193">
        <f>IF($L$4="通常",(VLOOKUP($K$7,'モンスター　一覧'!$B$4:$O$198,13,FALSE)*性格一覧!$F43*Lv50時の伸び率!$X43*0.01)*(VLOOKUP($L$3,ギルド一覧!$B$4:$R$29,10,FALSE)),(VLOOKUP($K$7,'モンスター　一覧'!$B$4:$O$198,13,FALSE)*性格一覧!$F43*Lv50時の伸び率!$X43*0.01)*(VLOOKUP($L$3,ギルド一覧!$B$4:$R$29,16,FALSE)))</f>
        <v>229.22857142857148</v>
      </c>
      <c r="Q52" s="194">
        <f>IF($L$4="通常",(VLOOKUP($K$7,'モンスター　一覧'!$B$4:$O$198,14,FALSE)*性格一覧!$G43*Lv50時の伸び率!$Y43*0.01)*(VLOOKUP($L$3,ギルド一覧!$B$4:$R$29,11,FALSE)),(VLOOKUP($K$7,'モンスター　一覧'!$B$4:$O$198,14,FALSE)*性格一覧!$G43*Lv50時の伸び率!$Y43*0.01)*VLOOKUP($L$3,ギルド一覧!$B$4:$R$29,17,FALSE))</f>
        <v>135.75757575757575</v>
      </c>
      <c r="R52" s="205">
        <f t="shared" si="1"/>
        <v>1062.8421264398448</v>
      </c>
      <c r="T52" s="64" t="s">
        <v>63</v>
      </c>
      <c r="U52" s="193">
        <f>IF($U$4="通常",(VLOOKUP($T$7,'モンスター　一覧'!$B$4:$O$198,9,FALSE)*性格一覧!$B43*Lv50時の伸び率!$T43*0.01)*(VLOOKUP($U$3,ギルド一覧!$B$4:$R$29,6,FALSE)),(VLOOKUP($T$7,'モンスター　一覧'!$B$4:$O$198,9,FALSE)*性格一覧!$B43*Lv50時の伸び率!$T43*0.01)*(VLOOKUP($U$3,ギルド一覧!$B$4:$R$29,12,FALSE)))</f>
        <v>369.29729729729729</v>
      </c>
      <c r="V52" s="193">
        <f>IF($T$4="通常",(VLOOKUP($T$7,'モンスター　一覧'!$B$4:$O$198,10,FALSE)*性格一覧!$C43*Lv50時の伸び率!$U43*0.01)*(VLOOKUP($U$3,ギルド一覧!$B$4:$R$29,7,FALSE)),(VLOOKUP($T$7,'モンスター　一覧'!$B$4:$O$198,10,FALSE)*性格一覧!$C43*Lv50時の伸び率!$U43*0.01)*(VLOOKUP($U$3,ギルド一覧!$B$4:$R$29,13,FALSE)))</f>
        <v>129.93548387096774</v>
      </c>
      <c r="W52" s="193">
        <f>IF($U$4="通常",(VLOOKUP($T$7,'モンスター　一覧'!$B$4:$O$198,11,FALSE)*性格一覧!$D43*Lv50時の伸び率!$V43*0.01)*(VLOOKUP($U$3,ギルド一覧!$B$4:$R$29,8,FALSE)),(VLOOKUP($T$7,'モンスター　一覧'!$B$4:$O$198,11,FALSE)*性格一覧!$D43*Lv50時の伸び率!$V43*0.01)*(VLOOKUP($C$3,ギルド一覧!$B$4:$R$29,14,FALSE)))</f>
        <v>150.65040650406505</v>
      </c>
      <c r="X52" s="193">
        <f>IF($U$4="通常",(VLOOKUP($T$7,'モンスター　一覧'!$B$4:$O$198,12,FALSE)*性格一覧!$E43*Lv50時の伸び率!$W43*0.01)*(VLOOKUP($U$3,ギルド一覧!$B$4:$R$29,9,FALSE)),(VLOOKUP($T$7,'モンスター　一覧'!$B$4:$O$198,12,FALSE)*性格一覧!$E43*Lv50時の伸び率!$W43*0.01)*(VLOOKUP($U$3,ギルド一覧!$B$4:$R$29,15,FALSE)))</f>
        <v>138.35454545454544</v>
      </c>
      <c r="Y52" s="193">
        <f>IF($U$4="通常",(VLOOKUP($T$7,'モンスター　一覧'!$B$4:$O$198,13,FALSE)*性格一覧!$F43*Lv50時の伸び率!$X43*0.01)*(VLOOKUP($U$3,ギルド一覧!$B$4:$R$29,10,FALSE)),(VLOOKUP($T$7,'モンスター　一覧'!$B$4:$O$198,13,FALSE)*性格一覧!$F43*Lv50時の伸び率!$X43*0.01)*(VLOOKUP($U$3,ギルド一覧!$B$4:$R$29,16,FALSE)))</f>
        <v>165.46428571428572</v>
      </c>
      <c r="Z52" s="194">
        <f>IF($U$4="通常",(VLOOKUP($T$7,'モンスター　一覧'!$B$4:$O$198,14,FALSE)*性格一覧!$G43*Lv50時の伸び率!$Y43*0.01)*(VLOOKUP($U$3,ギルド一覧!$B$4:$R$29,11,FALSE)),(VLOOKUP($T$7,'モンスター　一覧'!$B$4:$O$198,14,FALSE)*性格一覧!$G43*Lv50時の伸び率!$Y43*0.01)*VLOOKUP($U$3,ギルド一覧!$B$4:$R$29,17,FALSE))</f>
        <v>215.51515151515153</v>
      </c>
      <c r="AA52" s="205">
        <f t="shared" si="2"/>
        <v>1169.2171703563129</v>
      </c>
      <c r="AC52" s="152" t="s">
        <v>247</v>
      </c>
      <c r="AD52" s="219"/>
    </row>
    <row r="53" spans="2:30" s="55" customFormat="1">
      <c r="B53" s="64" t="s">
        <v>41</v>
      </c>
      <c r="C53" s="193">
        <f>IF($C$4="通常",(VLOOKUP($B$7,'モンスター　一覧'!$B$4:$O$198,9,FALSE)*性格一覧!$B44*Lv50時の伸び率!T44*0.01)*(VLOOKUP($C$3,ギルド一覧!$B$4:$R$29,6,FALSE)),(VLOOKUP($B$7,'モンスター　一覧'!$B$4:$O$198,9,FALSE)*性格一覧!$B44*Lv50時の伸び率!T44*0.01)*(VLOOKUP($C$3,ギルド一覧!$B$4:$R$29,12,FALSE)))</f>
        <v>308.91891891891896</v>
      </c>
      <c r="D53" s="193">
        <f>IF($C$4="通常",(VLOOKUP($B$7,'モンスター　一覧'!$B$4:$O$198,10,FALSE)*性格一覧!$C44*Lv50時の伸び率!U44*0.01)*(VLOOKUP($C$3,ギルド一覧!$B$4:$R$29,7,FALSE)),(VLOOKUP($B$7,'モンスター　一覧'!$B$4:$O$198,10,FALSE)*性格一覧!$C44*Lv50時の伸び率!U44*0.01)*(VLOOKUP($C$3,ギルド一覧!$B$4:$R$29,13,FALSE)))</f>
        <v>75.645161290322577</v>
      </c>
      <c r="E53" s="193">
        <f>IF($C$4="通常",(VLOOKUP($B$7,'モンスター　一覧'!$B$4:$O$198,11,FALSE)*性格一覧!$D44*Lv50時の伸び率!V44*0.01)*(VLOOKUP($C$3,ギルド一覧!$B$4:$R$29,8,FALSE)),(VLOOKUP($B$7,'モンスター　一覧'!$B$4:$O$198,11,FALSE)*性格一覧!$D44*Lv50時の伸び率!V44*0.01)*(VLOOKUP($C$3,ギルド一覧!$B$4:$R$29,14,FALSE)))</f>
        <v>238.3089430894309</v>
      </c>
      <c r="F53" s="193">
        <f>IF($C$4="通常",(VLOOKUP($B$7,'モンスター　一覧'!$B$4:$O$198,12,FALSE)*性格一覧!$E44*Lv50時の伸び率!W44*0.01)*(VLOOKUP($C$3,ギルド一覧!$B$4:$R$29,9,FALSE)),(VLOOKUP($B$7,'モンスター　一覧'!$B$4:$O$198,12,FALSE)*性格一覧!$E44*Lv50時の伸び率!W44*0.01)*(VLOOKUP($C$3,ギルド一覧!$B$4:$R$29,15,FALSE)))</f>
        <v>51.054545454545455</v>
      </c>
      <c r="G53" s="193">
        <f>IF($C$4="通常",(VLOOKUP($B$7,'モンスター　一覧'!$B$4:$O$198,13,FALSE)*性格一覧!$F44*Lv50時の伸び率!X44*0.01)*(VLOOKUP($C$3,ギルド一覧!$B$4:$R$29,10,FALSE)),(VLOOKUP($B$7,'モンスター　一覧'!$B$4:$O$198,13,FALSE)*性格一覧!$F44*Lv50時の伸び率!X44*0.01)*(VLOOKUP($C$3,ギルド一覧!$B$4:$R$29,16,FALSE)))</f>
        <v>102.91071428571428</v>
      </c>
      <c r="H53" s="201">
        <f>IF($C$4="通常",(VLOOKUP($B$7,'モンスター　一覧'!$B$4:$O$198,14,FALSE)*性格一覧!$G44*Lv50時の伸び率!Y44*0.01)*(VLOOKUP($C$3,ギルド一覧!$B$4:$R$29,11,FALSE)),(VLOOKUP($B$7,'モンスター　一覧'!$B$4:$O$198,14,FALSE)*性格一覧!$G44*Lv50時の伸び率!Y44*0.01)*VLOOKUP($C$3,ギルド一覧!$B$4:$R$29,17,FALSE))</f>
        <v>27.151515151515152</v>
      </c>
      <c r="I53" s="205">
        <f t="shared" si="0"/>
        <v>803.98979819044723</v>
      </c>
      <c r="J53" s="56"/>
      <c r="K53" s="198" t="s">
        <v>41</v>
      </c>
      <c r="L53" s="193">
        <f>IF($L$4="通常",(VLOOKUP($K$7,'モンスター　一覧'!$B$4:$O$198,9,FALSE)*性格一覧!$B44*Lv50時の伸び率!$T44*0.01)*(VLOOKUP($C$3,ギルド一覧!$B$4:$R$29,6,FALSE)),(VLOOKUP($K$7,'モンスター　一覧'!$B$4:$O$198,9,FALSE)*性格一覧!$B44*Lv50時の伸び率!$T44*0.01)*(VLOOKUP($C$3,ギルド一覧!$B$4:$R$29,12,FALSE)))</f>
        <v>205.94594594594597</v>
      </c>
      <c r="M53" s="193">
        <f>IF($L$4="通常",(VLOOKUP($K$7,'モンスター　一覧'!$B$4:$O$198,10,FALSE)*性格一覧!$C44*Lv50時の伸び率!$U44*0.01)*(VLOOKUP($L$3,ギルド一覧!$B$4:$R$29,7,FALSE)),(VLOOKUP($K$7,'モンスター　一覧'!$B$4:$O$198,10,FALSE)*性格一覧!$C44*Lv50時の伸び率!$U44*0.01)*(VLOOKUP($L$3,ギルド一覧!$B$4:$R$29,13,FALSE)))</f>
        <v>129.67741935483872</v>
      </c>
      <c r="N53" s="193">
        <f>IF($L$4="通常",(VLOOKUP($K$7,'モンスター　一覧'!$B$4:$O$198,11,FALSE)*性格一覧!$D44*Lv50時の伸び率!$V44*0.01)*(VLOOKUP($L$3,ギルド一覧!$B$4:$R$29,8,FALSE)),(VLOOKUP($K$7,'モンスター　一覧'!$B$4:$O$198,11,FALSE)*性格一覧!$D44*Lv50時の伸び率!$V44*0.01)*(VLOOKUP($C$3,ギルド一覧!$B$4:$R$29,14,FALSE)))</f>
        <v>178.73170731707316</v>
      </c>
      <c r="O53" s="193">
        <f>IF($L$4="通常",(VLOOKUP($K$7,'モンスター　一覧'!$B$4:$O$198,12,FALSE)*性格一覧!$E44*Lv50時の伸び率!$W44*0.01)*(VLOOKUP($L$3,ギルド一覧!$B$4:$R$29,9,FALSE)),(VLOOKUP($K$7,'モンスター　一覧'!$B$4:$O$198,12,FALSE)*性格一覧!$E44*Lv50時の伸び率!$W44*0.01)*(VLOOKUP($L$3,ギルド一覧!$B$4:$R$29,15,FALSE)))</f>
        <v>245.45454545454544</v>
      </c>
      <c r="P53" s="193">
        <f>IF($L$4="通常",(VLOOKUP($K$7,'モンスター　一覧'!$B$4:$O$198,13,FALSE)*性格一覧!$F44*Lv50時の伸び率!$X44*0.01)*(VLOOKUP($L$3,ギルド一覧!$B$4:$R$29,10,FALSE)),(VLOOKUP($K$7,'モンスター　一覧'!$B$4:$O$198,13,FALSE)*性格一覧!$F44*Lv50時の伸び率!$X44*0.01)*(VLOOKUP($L$3,ギルド一覧!$B$4:$R$29,16,FALSE)))</f>
        <v>229.2285714285714</v>
      </c>
      <c r="Q53" s="194">
        <f>IF($L$4="通常",(VLOOKUP($K$7,'モンスター　一覧'!$B$4:$O$198,14,FALSE)*性格一覧!$G44*Lv50時の伸び率!$Y44*0.01)*(VLOOKUP($L$3,ギルド一覧!$B$4:$R$29,11,FALSE)),(VLOOKUP($K$7,'モンスター　一覧'!$B$4:$O$198,14,FALSE)*性格一覧!$G44*Lv50時の伸び率!$Y44*0.01)*VLOOKUP($L$3,ギルド一覧!$B$4:$R$29,17,FALSE))</f>
        <v>155.15151515151516</v>
      </c>
      <c r="R53" s="205">
        <f t="shared" si="1"/>
        <v>1144.1897046524898</v>
      </c>
      <c r="T53" s="64" t="s">
        <v>41</v>
      </c>
      <c r="U53" s="193">
        <f>IF($U$4="通常",(VLOOKUP($T$7,'モンスター　一覧'!$B$4:$O$198,9,FALSE)*性格一覧!$B44*Lv50時の伸び率!$T44*0.01)*(VLOOKUP($U$3,ギルド一覧!$B$4:$R$29,6,FALSE)),(VLOOKUP($T$7,'モンスター　一覧'!$B$4:$O$198,9,FALSE)*性格一覧!$B44*Lv50時の伸び率!$T44*0.01)*(VLOOKUP($U$3,ギルド一覧!$B$4:$R$29,12,FALSE)))</f>
        <v>329.51351351351354</v>
      </c>
      <c r="V53" s="193">
        <f>IF($T$4="通常",(VLOOKUP($T$7,'モンスター　一覧'!$B$4:$O$198,10,FALSE)*性格一覧!$C44*Lv50時の伸び率!$U44*0.01)*(VLOOKUP($U$3,ギルド一覧!$B$4:$R$29,7,FALSE)),(VLOOKUP($T$7,'モンスター　一覧'!$B$4:$O$198,10,FALSE)*性格一覧!$C44*Lv50時の伸び率!$U44*0.01)*(VLOOKUP($U$3,ギルド一覧!$B$4:$R$29,13,FALSE)))</f>
        <v>164.25806451612902</v>
      </c>
      <c r="W53" s="193">
        <f>IF($U$4="通常",(VLOOKUP($T$7,'モンスター　一覧'!$B$4:$O$198,11,FALSE)*性格一覧!$D44*Lv50時の伸び率!$V44*0.01)*(VLOOKUP($U$3,ギルド一覧!$B$4:$R$29,8,FALSE)),(VLOOKUP($T$7,'モンスター　一覧'!$B$4:$O$198,11,FALSE)*性格一覧!$D44*Lv50時の伸び率!$V44*0.01)*(VLOOKUP($C$3,ギルド一覧!$B$4:$R$29,14,FALSE)))</f>
        <v>158.2520325203252</v>
      </c>
      <c r="X53" s="193">
        <f>IF($U$4="通常",(VLOOKUP($T$7,'モンスター　一覧'!$B$4:$O$198,12,FALSE)*性格一覧!$E44*Lv50時の伸び率!$W44*0.01)*(VLOOKUP($U$3,ギルド一覧!$B$4:$R$29,9,FALSE)),(VLOOKUP($T$7,'モンスター　一覧'!$B$4:$O$198,12,FALSE)*性格一覧!$E44*Lv50時の伸び率!$W44*0.01)*(VLOOKUP($U$3,ギルド一覧!$B$4:$R$29,15,FALSE)))</f>
        <v>174.76363636363635</v>
      </c>
      <c r="Y53" s="193">
        <f>IF($U$4="通常",(VLOOKUP($T$7,'モンスター　一覧'!$B$4:$O$198,13,FALSE)*性格一覧!$F44*Lv50時の伸び率!$X44*0.01)*(VLOOKUP($U$3,ギルド一覧!$B$4:$R$29,10,FALSE)),(VLOOKUP($T$7,'モンスター　一覧'!$B$4:$O$198,13,FALSE)*性格一覧!$F44*Lv50時の伸び率!$X44*0.01)*(VLOOKUP($U$3,ギルド一覧!$B$4:$R$29,16,FALSE)))</f>
        <v>165.46428571428569</v>
      </c>
      <c r="Z53" s="194">
        <f>IF($U$4="通常",(VLOOKUP($T$7,'モンスター　一覧'!$B$4:$O$198,14,FALSE)*性格一覧!$G44*Lv50時の伸び率!$Y44*0.01)*(VLOOKUP($U$3,ギルド一覧!$B$4:$R$29,11,FALSE)),(VLOOKUP($T$7,'モンスター　一覧'!$B$4:$O$198,14,FALSE)*性格一覧!$G44*Lv50時の伸び率!$Y44*0.01)*VLOOKUP($U$3,ギルド一覧!$B$4:$R$29,17,FALSE))</f>
        <v>246.30303030303028</v>
      </c>
      <c r="AA53" s="205">
        <f t="shared" si="2"/>
        <v>1238.5545629309202</v>
      </c>
      <c r="AC53" s="152" t="s">
        <v>123</v>
      </c>
      <c r="AD53" s="235"/>
    </row>
    <row r="54" spans="2:30" s="55" customFormat="1">
      <c r="B54" s="64" t="s">
        <v>43</v>
      </c>
      <c r="C54" s="193">
        <f>IF($C$4="通常",(VLOOKUP($B$7,'モンスター　一覧'!$B$4:$O$198,9,FALSE)*性格一覧!$B45*Lv50時の伸び率!T45*0.01)*(VLOOKUP($C$3,ギルド一覧!$B$4:$R$29,6,FALSE)),(VLOOKUP($B$7,'モンスター　一覧'!$B$4:$O$198,9,FALSE)*性格一覧!$B45*Lv50時の伸び率!T45*0.01)*(VLOOKUP($C$3,ギルド一覧!$B$4:$R$29,12,FALSE)))</f>
        <v>385.13513513513516</v>
      </c>
      <c r="D54" s="193">
        <f>IF($C$4="通常",(VLOOKUP($B$7,'モンスター　一覧'!$B$4:$O$198,10,FALSE)*性格一覧!$C45*Lv50時の伸び率!U45*0.01)*(VLOOKUP($C$3,ギルド一覧!$B$4:$R$29,7,FALSE)),(VLOOKUP($B$7,'モンスター　一覧'!$B$4:$O$198,10,FALSE)*性格一覧!$C45*Lv50時の伸び率!U45*0.01)*(VLOOKUP($C$3,ギルド一覧!$B$4:$R$29,13,FALSE)))</f>
        <v>48.548387096774199</v>
      </c>
      <c r="E54" s="193">
        <f>IF($C$4="通常",(VLOOKUP($B$7,'モンスター　一覧'!$B$4:$O$198,11,FALSE)*性格一覧!$D45*Lv50時の伸び率!V45*0.01)*(VLOOKUP($C$3,ギルド一覧!$B$4:$R$29,8,FALSE)),(VLOOKUP($B$7,'モンスター　一覧'!$B$4:$O$198,11,FALSE)*性格一覧!$D45*Lv50時の伸び率!V45*0.01)*(VLOOKUP($C$3,ギルド一覧!$B$4:$R$29,14,FALSE)))</f>
        <v>248.71544715447155</v>
      </c>
      <c r="F54" s="193">
        <f>IF($C$4="通常",(VLOOKUP($B$7,'モンスター　一覧'!$B$4:$O$198,12,FALSE)*性格一覧!$E45*Lv50時の伸び率!W45*0.01)*(VLOOKUP($C$3,ギルド一覧!$B$4:$R$29,9,FALSE)),(VLOOKUP($B$7,'モンスター　一覧'!$B$4:$O$198,12,FALSE)*性格一覧!$E45*Lv50時の伸び率!W45*0.01)*(VLOOKUP($C$3,ギルド一覧!$B$4:$R$29,15,FALSE)))</f>
        <v>63.109090909090909</v>
      </c>
      <c r="G54" s="193">
        <f>IF($C$4="通常",(VLOOKUP($B$7,'モンスター　一覧'!$B$4:$O$198,13,FALSE)*性格一覧!$F45*Lv50時の伸び率!X45*0.01)*(VLOOKUP($C$3,ギルド一覧!$B$4:$R$29,10,FALSE)),(VLOOKUP($B$7,'モンスター　一覧'!$B$4:$O$198,13,FALSE)*性格一覧!$F45*Lv50時の伸び率!X45*0.01)*(VLOOKUP($C$3,ギルド一覧!$B$4:$R$29,16,FALSE)))</f>
        <v>81.053571428571431</v>
      </c>
      <c r="H54" s="201">
        <f>IF($C$4="通常",(VLOOKUP($B$7,'モンスター　一覧'!$B$4:$O$198,14,FALSE)*性格一覧!$G45*Lv50時の伸び率!Y45*0.01)*(VLOOKUP($C$3,ギルド一覧!$B$4:$R$29,11,FALSE)),(VLOOKUP($B$7,'モンスター　一覧'!$B$4:$O$198,14,FALSE)*性格一覧!$G45*Lv50時の伸び率!Y45*0.01)*VLOOKUP($C$3,ギルド一覧!$B$4:$R$29,17,FALSE))</f>
        <v>21.212121212121215</v>
      </c>
      <c r="I54" s="205">
        <f t="shared" si="0"/>
        <v>847.77375293616456</v>
      </c>
      <c r="J54" s="56"/>
      <c r="K54" s="198" t="s">
        <v>43</v>
      </c>
      <c r="L54" s="193">
        <f>IF($L$4="通常",(VLOOKUP($K$7,'モンスター　一覧'!$B$4:$O$198,9,FALSE)*性格一覧!$B45*Lv50時の伸び率!$T45*0.01)*(VLOOKUP($C$3,ギルド一覧!$B$4:$R$29,6,FALSE)),(VLOOKUP($K$7,'モンスター　一覧'!$B$4:$O$198,9,FALSE)*性格一覧!$B45*Lv50時の伸び率!$T45*0.01)*(VLOOKUP($C$3,ギルド一覧!$B$4:$R$29,12,FALSE)))</f>
        <v>256.75675675675677</v>
      </c>
      <c r="M54" s="193">
        <f>IF($L$4="通常",(VLOOKUP($K$7,'モンスター　一覧'!$B$4:$O$198,10,FALSE)*性格一覧!$C45*Lv50時の伸び率!$U45*0.01)*(VLOOKUP($L$3,ギルド一覧!$B$4:$R$29,7,FALSE)),(VLOOKUP($K$7,'モンスター　一覧'!$B$4:$O$198,10,FALSE)*性格一覧!$C45*Lv50時の伸び率!$U45*0.01)*(VLOOKUP($L$3,ギルド一覧!$B$4:$R$29,13,FALSE)))</f>
        <v>83.225806451612897</v>
      </c>
      <c r="N54" s="193">
        <f>IF($L$4="通常",(VLOOKUP($K$7,'モンスター　一覧'!$B$4:$O$198,11,FALSE)*性格一覧!$D45*Lv50時の伸び率!$V45*0.01)*(VLOOKUP($L$3,ギルド一覧!$B$4:$R$29,8,FALSE)),(VLOOKUP($K$7,'モンスター　一覧'!$B$4:$O$198,11,FALSE)*性格一覧!$D45*Lv50時の伸び率!$V45*0.01)*(VLOOKUP($C$3,ギルド一覧!$B$4:$R$29,14,FALSE)))</f>
        <v>186.53658536585368</v>
      </c>
      <c r="O54" s="193">
        <f>IF($L$4="通常",(VLOOKUP($K$7,'モンスター　一覧'!$B$4:$O$198,12,FALSE)*性格一覧!$E45*Lv50時の伸び率!$W45*0.01)*(VLOOKUP($L$3,ギルド一覧!$B$4:$R$29,9,FALSE)),(VLOOKUP($K$7,'モンスター　一覧'!$B$4:$O$198,12,FALSE)*性格一覧!$E45*Lv50時の伸び率!$W45*0.01)*(VLOOKUP($L$3,ギルド一覧!$B$4:$R$29,15,FALSE)))</f>
        <v>303.40909090909093</v>
      </c>
      <c r="P54" s="193">
        <f>IF($L$4="通常",(VLOOKUP($K$7,'モンスター　一覧'!$B$4:$O$198,13,FALSE)*性格一覧!$F45*Lv50時の伸び率!$X45*0.01)*(VLOOKUP($L$3,ギルド一覧!$B$4:$R$29,10,FALSE)),(VLOOKUP($K$7,'モンスター　一覧'!$B$4:$O$198,13,FALSE)*性格一覧!$F45*Lv50時の伸び率!$X45*0.01)*(VLOOKUP($L$3,ギルド一覧!$B$4:$R$29,16,FALSE)))</f>
        <v>180.54285714285714</v>
      </c>
      <c r="Q54" s="194">
        <f>IF($L$4="通常",(VLOOKUP($K$7,'モンスター　一覧'!$B$4:$O$198,14,FALSE)*性格一覧!$G45*Lv50時の伸び率!$Y45*0.01)*(VLOOKUP($L$3,ギルド一覧!$B$4:$R$29,11,FALSE)),(VLOOKUP($K$7,'モンスター　一覧'!$B$4:$O$198,14,FALSE)*性格一覧!$G45*Lv50時の伸び率!$Y45*0.01)*VLOOKUP($L$3,ギルド一覧!$B$4:$R$29,17,FALSE))</f>
        <v>121.21212121212122</v>
      </c>
      <c r="R54" s="205">
        <f t="shared" si="1"/>
        <v>1131.6832178382929</v>
      </c>
      <c r="T54" s="64" t="s">
        <v>43</v>
      </c>
      <c r="U54" s="193">
        <f>IF($U$4="通常",(VLOOKUP($T$7,'モンスター　一覧'!$B$4:$O$198,9,FALSE)*性格一覧!$B45*Lv50時の伸び率!$T45*0.01)*(VLOOKUP($U$3,ギルド一覧!$B$4:$R$29,6,FALSE)),(VLOOKUP($T$7,'モンスター　一覧'!$B$4:$O$198,9,FALSE)*性格一覧!$B45*Lv50時の伸び率!$T45*0.01)*(VLOOKUP($U$3,ギルド一覧!$B$4:$R$29,12,FALSE)))</f>
        <v>410.81081081081084</v>
      </c>
      <c r="V54" s="193">
        <f>IF($T$4="通常",(VLOOKUP($T$7,'モンスター　一覧'!$B$4:$O$198,10,FALSE)*性格一覧!$C45*Lv50時の伸び率!$U45*0.01)*(VLOOKUP($U$3,ギルド一覧!$B$4:$R$29,7,FALSE)),(VLOOKUP($T$7,'モンスター　一覧'!$B$4:$O$198,10,FALSE)*性格一覧!$C45*Lv50時の伸び率!$U45*0.01)*(VLOOKUP($U$3,ギルド一覧!$B$4:$R$29,13,FALSE)))</f>
        <v>105.41935483870968</v>
      </c>
      <c r="W54" s="193">
        <f>IF($U$4="通常",(VLOOKUP($T$7,'モンスター　一覧'!$B$4:$O$198,11,FALSE)*性格一覧!$D45*Lv50時の伸び率!$V45*0.01)*(VLOOKUP($U$3,ギルド一覧!$B$4:$R$29,8,FALSE)),(VLOOKUP($T$7,'モンスター　一覧'!$B$4:$O$198,11,FALSE)*性格一覧!$D45*Lv50時の伸び率!$V45*0.01)*(VLOOKUP($C$3,ギルド一覧!$B$4:$R$29,14,FALSE)))</f>
        <v>165.16260162601625</v>
      </c>
      <c r="X54" s="193">
        <f>IF($U$4="通常",(VLOOKUP($T$7,'モンスター　一覧'!$B$4:$O$198,12,FALSE)*性格一覧!$E45*Lv50時の伸び率!$W45*0.01)*(VLOOKUP($U$3,ギルド一覧!$B$4:$R$29,9,FALSE)),(VLOOKUP($T$7,'モンスター　一覧'!$B$4:$O$198,12,FALSE)*性格一覧!$E45*Lv50時の伸び率!$W45*0.01)*(VLOOKUP($U$3,ギルド一覧!$B$4:$R$29,15,FALSE)))</f>
        <v>216.02727272727273</v>
      </c>
      <c r="Y54" s="193">
        <f>IF($U$4="通常",(VLOOKUP($T$7,'モンスター　一覧'!$B$4:$O$198,13,FALSE)*性格一覧!$F45*Lv50時の伸び率!$X45*0.01)*(VLOOKUP($U$3,ギルド一覧!$B$4:$R$29,10,FALSE)),(VLOOKUP($T$7,'モンスター　一覧'!$B$4:$O$198,13,FALSE)*性格一覧!$F45*Lv50時の伸び率!$X45*0.01)*(VLOOKUP($U$3,ギルド一覧!$B$4:$R$29,16,FALSE)))</f>
        <v>130.32142857142858</v>
      </c>
      <c r="Z54" s="194">
        <f>IF($U$4="通常",(VLOOKUP($T$7,'モンスター　一覧'!$B$4:$O$198,14,FALSE)*性格一覧!$G45*Lv50時の伸び率!$Y45*0.01)*(VLOOKUP($U$3,ギルド一覧!$B$4:$R$29,11,FALSE)),(VLOOKUP($T$7,'モンスター　一覧'!$B$4:$O$198,14,FALSE)*性格一覧!$G45*Lv50時の伸び率!$Y45*0.01)*VLOOKUP($U$3,ギルド一覧!$B$4:$R$29,17,FALSE))</f>
        <v>192.42424242424244</v>
      </c>
      <c r="AA54" s="205">
        <f t="shared" si="2"/>
        <v>1220.1657109984806</v>
      </c>
      <c r="AC54" s="152" t="s">
        <v>192</v>
      </c>
      <c r="AD54" s="235"/>
    </row>
    <row r="55" spans="2:30" s="55" customFormat="1">
      <c r="B55" s="64" t="s">
        <v>60</v>
      </c>
      <c r="C55" s="193">
        <f>IF($C$4="通常",(VLOOKUP($B$7,'モンスター　一覧'!$B$4:$O$198,9,FALSE)*性格一覧!$B46*Lv50時の伸び率!T46*0.01)*(VLOOKUP($C$3,ギルド一覧!$B$4:$R$29,6,FALSE)),(VLOOKUP($B$7,'モンスター　一覧'!$B$4:$O$198,9,FALSE)*性格一覧!$B46*Lv50時の伸び率!T46*0.01)*(VLOOKUP($C$3,ギルド一覧!$B$4:$R$29,12,FALSE)))</f>
        <v>283.54838709677421</v>
      </c>
      <c r="D55" s="193">
        <f>IF($C$4="通常",(VLOOKUP($B$7,'モンスター　一覧'!$B$4:$O$198,10,FALSE)*性格一覧!$C46*Lv50時の伸び率!U46*0.01)*(VLOOKUP($C$3,ギルド一覧!$B$4:$R$29,7,FALSE)),(VLOOKUP($B$7,'モンスター　一覧'!$B$4:$O$198,10,FALSE)*性格一覧!$C46*Lv50時の伸び率!U46*0.01)*(VLOOKUP($C$3,ギルド一覧!$B$4:$R$29,13,FALSE)))</f>
        <v>94.0625</v>
      </c>
      <c r="E55" s="193">
        <f>IF($C$4="通常",(VLOOKUP($B$7,'モンスター　一覧'!$B$4:$O$198,11,FALSE)*性格一覧!$D46*Lv50時の伸び率!V46*0.01)*(VLOOKUP($C$3,ギルド一覧!$B$4:$R$29,8,FALSE)),(VLOOKUP($B$7,'モンスター　一覧'!$B$4:$O$198,11,FALSE)*性格一覧!$D46*Lv50時の伸び率!V46*0.01)*(VLOOKUP($C$3,ギルド一覧!$B$4:$R$29,14,FALSE)))</f>
        <v>245.76</v>
      </c>
      <c r="F55" s="193">
        <f>IF($C$4="通常",(VLOOKUP($B$7,'モンスター　一覧'!$B$4:$O$198,12,FALSE)*性格一覧!$E46*Lv50時の伸び率!W46*0.01)*(VLOOKUP($C$3,ギルド一覧!$B$4:$R$29,9,FALSE)),(VLOOKUP($B$7,'モンスター　一覧'!$B$4:$O$198,12,FALSE)*性格一覧!$E46*Lv50時の伸び率!W46*0.01)*(VLOOKUP($C$3,ギルド一覧!$B$4:$R$29,15,FALSE)))</f>
        <v>51.054545454545455</v>
      </c>
      <c r="G55" s="193">
        <f>IF($C$4="通常",(VLOOKUP($B$7,'モンスター　一覧'!$B$4:$O$198,13,FALSE)*性格一覧!$F46*Lv50時の伸び率!X46*0.01)*(VLOOKUP($C$3,ギルド一覧!$B$4:$R$29,10,FALSE)),(VLOOKUP($B$7,'モンスター　一覧'!$B$4:$O$198,13,FALSE)*性格一覧!$F46*Lv50時の伸び率!X46*0.01)*(VLOOKUP($C$3,ギルド一覧!$B$4:$R$29,16,FALSE)))</f>
        <v>95.164948453608247</v>
      </c>
      <c r="H55" s="201">
        <f>IF($C$4="通常",(VLOOKUP($B$7,'モンスター　一覧'!$B$4:$O$198,14,FALSE)*性格一覧!$G46*Lv50時の伸び率!Y46*0.01)*(VLOOKUP($C$3,ギルド一覧!$B$4:$R$29,11,FALSE)),(VLOOKUP($B$7,'モンスター　一覧'!$B$4:$O$198,14,FALSE)*性格一覧!$G46*Lv50時の伸び率!Y46*0.01)*VLOOKUP($C$3,ギルド一覧!$B$4:$R$29,17,FALSE))</f>
        <v>25.411764705882351</v>
      </c>
      <c r="I55" s="205">
        <f t="shared" si="0"/>
        <v>795.00214571081017</v>
      </c>
      <c r="J55" s="56"/>
      <c r="K55" s="198" t="s">
        <v>60</v>
      </c>
      <c r="L55" s="193">
        <f>IF($L$4="通常",(VLOOKUP($K$7,'モンスター　一覧'!$B$4:$O$198,9,FALSE)*性格一覧!$B46*Lv50時の伸び率!$T46*0.01)*(VLOOKUP($C$3,ギルド一覧!$B$4:$R$29,6,FALSE)),(VLOOKUP($K$7,'モンスター　一覧'!$B$4:$O$198,9,FALSE)*性格一覧!$B46*Lv50時の伸び率!$T46*0.01)*(VLOOKUP($C$3,ギルド一覧!$B$4:$R$29,12,FALSE)))</f>
        <v>189.03225806451613</v>
      </c>
      <c r="M55" s="193">
        <f>IF($L$4="通常",(VLOOKUP($K$7,'モンスター　一覧'!$B$4:$O$198,10,FALSE)*性格一覧!$C46*Lv50時の伸び率!$U46*0.01)*(VLOOKUP($L$3,ギルド一覧!$B$4:$R$29,7,FALSE)),(VLOOKUP($K$7,'モンスター　一覧'!$B$4:$O$198,10,FALSE)*性格一覧!$C46*Lv50時の伸び率!$U46*0.01)*(VLOOKUP($L$3,ギルド一覧!$B$4:$R$29,13,FALSE)))</f>
        <v>161.24999999999997</v>
      </c>
      <c r="N55" s="193">
        <f>IF($L$4="通常",(VLOOKUP($K$7,'モンスター　一覧'!$B$4:$O$198,11,FALSE)*性格一覧!$D46*Lv50時の伸び率!$V46*0.01)*(VLOOKUP($L$3,ギルド一覧!$B$4:$R$29,8,FALSE)),(VLOOKUP($K$7,'モンスター　一覧'!$B$4:$O$198,11,FALSE)*性格一覧!$D46*Lv50時の伸び率!$V46*0.01)*(VLOOKUP($C$3,ギルド一覧!$B$4:$R$29,14,FALSE)))</f>
        <v>184.32</v>
      </c>
      <c r="O55" s="193">
        <f>IF($L$4="通常",(VLOOKUP($K$7,'モンスター　一覧'!$B$4:$O$198,12,FALSE)*性格一覧!$E46*Lv50時の伸び率!$W46*0.01)*(VLOOKUP($L$3,ギルド一覧!$B$4:$R$29,9,FALSE)),(VLOOKUP($K$7,'モンスター　一覧'!$B$4:$O$198,12,FALSE)*性格一覧!$E46*Lv50時の伸び率!$W46*0.01)*(VLOOKUP($L$3,ギルド一覧!$B$4:$R$29,15,FALSE)))</f>
        <v>245.45454545454544</v>
      </c>
      <c r="P55" s="193">
        <f>IF($L$4="通常",(VLOOKUP($K$7,'モンスター　一覧'!$B$4:$O$198,13,FALSE)*性格一覧!$F46*Lv50時の伸び率!$X46*0.01)*(VLOOKUP($L$3,ギルド一覧!$B$4:$R$29,10,FALSE)),(VLOOKUP($K$7,'モンスター　一覧'!$B$4:$O$198,13,FALSE)*性格一覧!$F46*Lv50時の伸び率!$X46*0.01)*(VLOOKUP($L$3,ギルド一覧!$B$4:$R$29,16,FALSE)))</f>
        <v>211.97525773195878</v>
      </c>
      <c r="Q55" s="194">
        <f>IF($L$4="通常",(VLOOKUP($K$7,'モンスター　一覧'!$B$4:$O$198,14,FALSE)*性格一覧!$G46*Lv50時の伸び率!$Y46*0.01)*(VLOOKUP($L$3,ギルド一覧!$B$4:$R$29,11,FALSE)),(VLOOKUP($K$7,'モンスター　一覧'!$B$4:$O$198,14,FALSE)*性格一覧!$G46*Lv50時の伸び率!$Y46*0.01)*VLOOKUP($L$3,ギルド一覧!$B$4:$R$29,17,FALSE))</f>
        <v>145.21008403361344</v>
      </c>
      <c r="R55" s="205">
        <f t="shared" si="1"/>
        <v>1137.2421452846338</v>
      </c>
      <c r="T55" s="64" t="s">
        <v>60</v>
      </c>
      <c r="U55" s="193">
        <f>IF($U$4="通常",(VLOOKUP($T$7,'モンスター　一覧'!$B$4:$O$198,9,FALSE)*性格一覧!$B46*Lv50時の伸び率!$T46*0.01)*(VLOOKUP($U$3,ギルド一覧!$B$4:$R$29,6,FALSE)),(VLOOKUP($T$7,'モンスター　一覧'!$B$4:$O$198,9,FALSE)*性格一覧!$B46*Lv50時の伸び率!$T46*0.01)*(VLOOKUP($U$3,ギルド一覧!$B$4:$R$29,12,FALSE)))</f>
        <v>302.45161290322585</v>
      </c>
      <c r="V55" s="193">
        <f>IF($T$4="通常",(VLOOKUP($T$7,'モンスター　一覧'!$B$4:$O$198,10,FALSE)*性格一覧!$C46*Lv50時の伸び率!$U46*0.01)*(VLOOKUP($U$3,ギルド一覧!$B$4:$R$29,7,FALSE)),(VLOOKUP($T$7,'モンスター　一覧'!$B$4:$O$198,10,FALSE)*性格一覧!$C46*Lv50時の伸び率!$U46*0.01)*(VLOOKUP($U$3,ギルド一覧!$B$4:$R$29,13,FALSE)))</f>
        <v>204.25</v>
      </c>
      <c r="W55" s="193">
        <f>IF($U$4="通常",(VLOOKUP($T$7,'モンスター　一覧'!$B$4:$O$198,11,FALSE)*性格一覧!$D46*Lv50時の伸び率!$V46*0.01)*(VLOOKUP($U$3,ギルド一覧!$B$4:$R$29,8,FALSE)),(VLOOKUP($T$7,'モンスター　一覧'!$B$4:$O$198,11,FALSE)*性格一覧!$D46*Lv50時の伸び率!$V46*0.01)*(VLOOKUP($C$3,ギルド一覧!$B$4:$R$29,14,FALSE)))</f>
        <v>163.20000000000002</v>
      </c>
      <c r="X55" s="193">
        <f>IF($U$4="通常",(VLOOKUP($T$7,'モンスター　一覧'!$B$4:$O$198,12,FALSE)*性格一覧!$E46*Lv50時の伸び率!$W46*0.01)*(VLOOKUP($U$3,ギルド一覧!$B$4:$R$29,9,FALSE)),(VLOOKUP($T$7,'モンスター　一覧'!$B$4:$O$198,12,FALSE)*性格一覧!$E46*Lv50時の伸び率!$W46*0.01)*(VLOOKUP($U$3,ギルド一覧!$B$4:$R$29,15,FALSE)))</f>
        <v>174.76363636363635</v>
      </c>
      <c r="Y55" s="193">
        <f>IF($U$4="通常",(VLOOKUP($T$7,'モンスター　一覧'!$B$4:$O$198,13,FALSE)*性格一覧!$F46*Lv50時の伸び率!$X46*0.01)*(VLOOKUP($U$3,ギルド一覧!$B$4:$R$29,10,FALSE)),(VLOOKUP($T$7,'モンスター　一覧'!$B$4:$O$198,13,FALSE)*性格一覧!$F46*Lv50時の伸び率!$X46*0.01)*(VLOOKUP($U$3,ギルド一覧!$B$4:$R$29,16,FALSE)))</f>
        <v>153.01030927835052</v>
      </c>
      <c r="Z55" s="194">
        <f>IF($U$4="通常",(VLOOKUP($T$7,'モンスター　一覧'!$B$4:$O$198,14,FALSE)*性格一覧!$G46*Lv50時の伸び率!$Y46*0.01)*(VLOOKUP($U$3,ギルド一覧!$B$4:$R$29,11,FALSE)),(VLOOKUP($T$7,'モンスター　一覧'!$B$4:$O$198,14,FALSE)*性格一覧!$G46*Lv50時の伸び率!$Y46*0.01)*VLOOKUP($U$3,ギルド一覧!$B$4:$R$29,17,FALSE))</f>
        <v>230.52100840336135</v>
      </c>
      <c r="AA55" s="205">
        <f t="shared" si="2"/>
        <v>1228.1965669485742</v>
      </c>
      <c r="AC55" s="152" t="s">
        <v>78</v>
      </c>
      <c r="AD55" s="235"/>
    </row>
    <row r="56" spans="2:30" s="55" customFormat="1" ht="12.75" thickBot="1">
      <c r="B56" s="65" t="s">
        <v>62</v>
      </c>
      <c r="C56" s="195">
        <f>IF($C$4="通常",(VLOOKUP($B$7,'モンスター　一覧'!$B$4:$O$198,9,FALSE)*性格一覧!$B47*Lv50時の伸び率!T47*0.01)*(VLOOKUP($C$3,ギルド一覧!$B$4:$R$29,6,FALSE)),(VLOOKUP($B$7,'モンスター　一覧'!$B$4:$O$198,9,FALSE)*性格一覧!$B47*Lv50時の伸び率!T47*0.01)*(VLOOKUP($C$3,ギルド一覧!$B$4:$R$29,12,FALSE)))</f>
        <v>298.06451612903226</v>
      </c>
      <c r="D56" s="195">
        <f>IF($C$4="通常",(VLOOKUP($B$7,'モンスター　一覧'!$B$4:$O$198,10,FALSE)*性格一覧!$C47*Lv50時の伸び率!U47*0.01)*(VLOOKUP($C$3,ギルド一覧!$B$4:$R$29,7,FALSE)),(VLOOKUP($B$7,'モンスター　一覧'!$B$4:$O$198,10,FALSE)*性格一覧!$C47*Lv50時の伸び率!U47*0.01)*(VLOOKUP($C$3,ギルド一覧!$B$4:$R$29,13,FALSE)))</f>
        <v>66.718750000000014</v>
      </c>
      <c r="E56" s="195">
        <f>IF($C$4="通常",(VLOOKUP($B$7,'モンスター　一覧'!$B$4:$O$198,11,FALSE)*性格一覧!$D47*Lv50時の伸び率!V47*0.01)*(VLOOKUP($C$3,ギルド一覧!$B$4:$R$29,8,FALSE)),(VLOOKUP($B$7,'モンスター　一覧'!$B$4:$O$198,11,FALSE)*性格一覧!$D47*Lv50時の伸び率!V47*0.01)*(VLOOKUP($C$3,ギルド一覧!$B$4:$R$29,14,FALSE)))</f>
        <v>247.46666666666664</v>
      </c>
      <c r="F56" s="195">
        <f>IF($C$4="通常",(VLOOKUP($B$7,'モンスター　一覧'!$B$4:$O$198,12,FALSE)*性格一覧!$E47*Lv50時の伸び率!W47*0.01)*(VLOOKUP($C$3,ギルド一覧!$B$4:$R$29,9,FALSE)),(VLOOKUP($B$7,'モンスター　一覧'!$B$4:$O$198,12,FALSE)*性格一覧!$E47*Lv50時の伸び率!W47*0.01)*(VLOOKUP($C$3,ギルド一覧!$B$4:$R$29,15,FALSE)))</f>
        <v>47.272727272727273</v>
      </c>
      <c r="G56" s="195">
        <f>IF($C$4="通常",(VLOOKUP($B$7,'モンスター　一覧'!$B$4:$O$198,13,FALSE)*性格一覧!$F47*Lv50時の伸び率!X47*0.01)*(VLOOKUP($C$3,ギルド一覧!$B$4:$R$29,10,FALSE)),(VLOOKUP($B$7,'モンスター　一覧'!$B$4:$O$198,13,FALSE)*性格一覧!$F47*Lv50時の伸び率!X47*0.01)*(VLOOKUP($C$3,ギルド一覧!$B$4:$R$29,16,FALSE)))</f>
        <v>95.164948453608247</v>
      </c>
      <c r="H56" s="200">
        <f>IF($C$4="通常",(VLOOKUP($B$7,'モンスター　一覧'!$B$4:$O$198,14,FALSE)*性格一覧!$G47*Lv50時の伸び率!Y47*0.01)*(VLOOKUP($C$3,ギルド一覧!$B$4:$R$29,11,FALSE)),(VLOOKUP($B$7,'モンスター　一覧'!$B$4:$O$198,14,FALSE)*性格一覧!$G47*Lv50時の伸び率!Y47*0.01)*VLOOKUP($C$3,ギルド一覧!$B$4:$R$29,17,FALSE))</f>
        <v>27.058823529411768</v>
      </c>
      <c r="I56" s="206">
        <f t="shared" si="0"/>
        <v>781.74643205144616</v>
      </c>
      <c r="J56" s="56"/>
      <c r="K56" s="199" t="s">
        <v>62</v>
      </c>
      <c r="L56" s="195">
        <f>IF($L$4="通常",(VLOOKUP($K$7,'モンスター　一覧'!$B$4:$O$198,9,FALSE)*性格一覧!$B47*Lv50時の伸び率!$T47*0.01)*(VLOOKUP($C$3,ギルド一覧!$B$4:$R$29,6,FALSE)),(VLOOKUP($K$7,'モンスター　一覧'!$B$4:$O$198,9,FALSE)*性格一覧!$B47*Lv50時の伸び率!$T47*0.01)*(VLOOKUP($C$3,ギルド一覧!$B$4:$R$29,12,FALSE)))</f>
        <v>198.70967741935485</v>
      </c>
      <c r="M56" s="195">
        <f>IF($L$4="通常",(VLOOKUP($K$7,'モンスター　一覧'!$B$4:$O$198,10,FALSE)*性格一覧!$C47*Lv50時の伸び率!$U47*0.01)*(VLOOKUP($L$3,ギルド一覧!$B$4:$R$29,7,FALSE)),(VLOOKUP($K$7,'モンスター　一覧'!$B$4:$O$198,10,FALSE)*性格一覧!$C47*Lv50時の伸び率!$U47*0.01)*(VLOOKUP($L$3,ギルド一覧!$B$4:$R$29,13,FALSE)))</f>
        <v>114.37500000000001</v>
      </c>
      <c r="N56" s="195">
        <f>IF($L$4="通常",(VLOOKUP($K$7,'モンスター　一覧'!$B$4:$O$198,11,FALSE)*性格一覧!$D47*Lv50時の伸び率!$V47*0.01)*(VLOOKUP($L$3,ギルド一覧!$B$4:$R$29,8,FALSE)),(VLOOKUP($K$7,'モンスター　一覧'!$B$4:$O$198,11,FALSE)*性格一覧!$D47*Lv50時の伸び率!$V47*0.01)*(VLOOKUP($C$3,ギルド一覧!$B$4:$R$29,14,FALSE)))</f>
        <v>185.6</v>
      </c>
      <c r="O56" s="195">
        <f>IF($L$4="通常",(VLOOKUP($K$7,'モンスター　一覧'!$B$4:$O$198,12,FALSE)*性格一覧!$E47*Lv50時の伸び率!$W47*0.01)*(VLOOKUP($L$3,ギルド一覧!$B$4:$R$29,9,FALSE)),(VLOOKUP($K$7,'モンスター　一覧'!$B$4:$O$198,12,FALSE)*性格一覧!$E47*Lv50時の伸び率!$W47*0.01)*(VLOOKUP($L$3,ギルド一覧!$B$4:$R$29,15,FALSE)))</f>
        <v>227.27272727272728</v>
      </c>
      <c r="P56" s="195">
        <f>IF($L$4="通常",(VLOOKUP($K$7,'モンスター　一覧'!$B$4:$O$198,13,FALSE)*性格一覧!$F47*Lv50時の伸び率!$X47*0.01)*(VLOOKUP($L$3,ギルド一覧!$B$4:$R$29,10,FALSE)),(VLOOKUP($K$7,'モンスター　一覧'!$B$4:$O$198,13,FALSE)*性格一覧!$F47*Lv50時の伸び率!$X47*0.01)*(VLOOKUP($L$3,ギルド一覧!$B$4:$R$29,16,FALSE)))</f>
        <v>211.97525773195878</v>
      </c>
      <c r="Q56" s="196">
        <f>IF($L$4="通常",(VLOOKUP($K$7,'モンスター　一覧'!$B$4:$O$198,14,FALSE)*性格一覧!$G47*Lv50時の伸び率!$Y47*0.01)*(VLOOKUP($L$3,ギルド一覧!$B$4:$R$29,11,FALSE)),(VLOOKUP($K$7,'モンスター　一覧'!$B$4:$O$198,14,FALSE)*性格一覧!$G47*Lv50時の伸び率!$Y47*0.01)*VLOOKUP($L$3,ギルド一覧!$B$4:$R$29,17,FALSE))</f>
        <v>154.62184873949579</v>
      </c>
      <c r="R56" s="206">
        <f t="shared" si="1"/>
        <v>1092.5545111635367</v>
      </c>
      <c r="T56" s="65" t="s">
        <v>62</v>
      </c>
      <c r="U56" s="195">
        <f>IF($U$4="通常",(VLOOKUP($T$7,'モンスター　一覧'!$B$4:$O$198,9,FALSE)*性格一覧!$B47*Lv50時の伸び率!$T47*0.01)*(VLOOKUP($U$3,ギルド一覧!$B$4:$R$29,6,FALSE)),(VLOOKUP($T$7,'モンスター　一覧'!$B$4:$O$198,9,FALSE)*性格一覧!$B47*Lv50時の伸び率!$T47*0.01)*(VLOOKUP($U$3,ギルド一覧!$B$4:$R$29,12,FALSE)))</f>
        <v>317.93548387096774</v>
      </c>
      <c r="V56" s="195">
        <f>IF($T$4="通常",(VLOOKUP($T$7,'モンスター　一覧'!$B$4:$O$198,10,FALSE)*性格一覧!$C47*Lv50時の伸び率!$U47*0.01)*(VLOOKUP($U$3,ギルド一覧!$B$4:$R$29,7,FALSE)),(VLOOKUP($T$7,'モンスター　一覧'!$B$4:$O$198,10,FALSE)*性格一覧!$C47*Lv50時の伸び率!$U47*0.01)*(VLOOKUP($U$3,ギルド一覧!$B$4:$R$29,13,FALSE)))</f>
        <v>144.87500000000003</v>
      </c>
      <c r="W56" s="195">
        <f>IF($U$4="通常",(VLOOKUP($T$7,'モンスター　一覧'!$B$4:$O$198,11,FALSE)*性格一覧!$D47*Lv50時の伸び率!$V47*0.01)*(VLOOKUP($U$3,ギルド一覧!$B$4:$R$29,8,FALSE)),(VLOOKUP($T$7,'モンスター　一覧'!$B$4:$O$198,11,FALSE)*性格一覧!$D47*Lv50時の伸び率!$V47*0.01)*(VLOOKUP($C$3,ギルド一覧!$B$4:$R$29,14,FALSE)))</f>
        <v>164.33333333333331</v>
      </c>
      <c r="X56" s="195">
        <f>IF($U$4="通常",(VLOOKUP($T$7,'モンスター　一覧'!$B$4:$O$198,12,FALSE)*性格一覧!$E47*Lv50時の伸び率!$W47*0.01)*(VLOOKUP($U$3,ギルド一覧!$B$4:$R$29,9,FALSE)),(VLOOKUP($T$7,'モンスター　一覧'!$B$4:$O$198,12,FALSE)*性格一覧!$E47*Lv50時の伸び率!$W47*0.01)*(VLOOKUP($U$3,ギルド一覧!$B$4:$R$29,15,FALSE)))</f>
        <v>161.81818181818181</v>
      </c>
      <c r="Y56" s="195">
        <f>IF($U$4="通常",(VLOOKUP($T$7,'モンスター　一覧'!$B$4:$O$198,13,FALSE)*性格一覧!$F47*Lv50時の伸び率!$X47*0.01)*(VLOOKUP($U$3,ギルド一覧!$B$4:$R$29,10,FALSE)),(VLOOKUP($T$7,'モンスター　一覧'!$B$4:$O$198,13,FALSE)*性格一覧!$F47*Lv50時の伸び率!$X47*0.01)*(VLOOKUP($U$3,ギルド一覧!$B$4:$R$29,16,FALSE)))</f>
        <v>153.01030927835052</v>
      </c>
      <c r="Z56" s="196">
        <f>IF($U$4="通常",(VLOOKUP($T$7,'モンスター　一覧'!$B$4:$O$198,14,FALSE)*性格一覧!$G47*Lv50時の伸び率!$Y47*0.01)*(VLOOKUP($U$3,ギルド一覧!$B$4:$R$29,11,FALSE)),(VLOOKUP($T$7,'モンスター　一覧'!$B$4:$O$198,14,FALSE)*性格一覧!$G47*Lv50時の伸び率!$Y47*0.01)*VLOOKUP($U$3,ギルド一覧!$B$4:$R$29,17,FALSE))</f>
        <v>245.46218487394958</v>
      </c>
      <c r="AA56" s="206">
        <f t="shared" si="2"/>
        <v>1187.4344931747828</v>
      </c>
      <c r="AC56" s="152" t="s">
        <v>209</v>
      </c>
      <c r="AD56" s="219"/>
    </row>
    <row r="57" spans="2:30">
      <c r="AC57" s="152" t="s">
        <v>219</v>
      </c>
    </row>
    <row r="58" spans="2:30">
      <c r="AC58" s="152" t="s">
        <v>238</v>
      </c>
    </row>
    <row r="59" spans="2:30">
      <c r="AC59" s="152" t="s">
        <v>82</v>
      </c>
    </row>
    <row r="60" spans="2:30">
      <c r="AC60" s="152" t="s">
        <v>230</v>
      </c>
    </row>
    <row r="61" spans="2:30">
      <c r="AC61" s="152" t="s">
        <v>137</v>
      </c>
      <c r="AD61" s="219"/>
    </row>
    <row r="62" spans="2:30">
      <c r="AC62" s="152" t="s">
        <v>239</v>
      </c>
    </row>
    <row r="63" spans="2:30">
      <c r="AC63" s="152" t="s">
        <v>115</v>
      </c>
    </row>
    <row r="64" spans="2:30">
      <c r="AC64" s="152" t="s">
        <v>146</v>
      </c>
      <c r="AD64" s="219"/>
    </row>
    <row r="65" spans="29:30">
      <c r="AC65" s="152" t="s">
        <v>121</v>
      </c>
    </row>
    <row r="66" spans="29:30">
      <c r="AC66" s="152" t="s">
        <v>125</v>
      </c>
    </row>
    <row r="67" spans="29:30">
      <c r="AC67" s="152" t="s">
        <v>124</v>
      </c>
    </row>
    <row r="68" spans="29:30">
      <c r="AC68" s="152" t="s">
        <v>194</v>
      </c>
      <c r="AD68" s="219"/>
    </row>
    <row r="69" spans="29:30">
      <c r="AC69" s="152" t="s">
        <v>228</v>
      </c>
      <c r="AD69" s="219"/>
    </row>
    <row r="70" spans="29:30">
      <c r="AC70" s="152" t="s">
        <v>226</v>
      </c>
    </row>
    <row r="71" spans="29:30">
      <c r="AC71" s="152" t="s">
        <v>202</v>
      </c>
    </row>
    <row r="72" spans="29:30">
      <c r="AC72" s="152" t="s">
        <v>179</v>
      </c>
    </row>
    <row r="73" spans="29:30">
      <c r="AC73" s="152" t="s">
        <v>141</v>
      </c>
    </row>
    <row r="74" spans="29:30">
      <c r="AC74" s="152" t="s">
        <v>180</v>
      </c>
    </row>
    <row r="75" spans="29:30">
      <c r="AC75" s="152" t="s">
        <v>211</v>
      </c>
    </row>
    <row r="76" spans="29:30">
      <c r="AC76" s="152" t="s">
        <v>186</v>
      </c>
    </row>
    <row r="77" spans="29:30">
      <c r="AC77" s="152" t="s">
        <v>93</v>
      </c>
    </row>
    <row r="78" spans="29:30">
      <c r="AC78" s="152" t="s">
        <v>152</v>
      </c>
      <c r="AD78" s="219"/>
    </row>
    <row r="79" spans="29:30">
      <c r="AC79" s="152" t="s">
        <v>106</v>
      </c>
      <c r="AD79" s="219"/>
    </row>
    <row r="80" spans="29:30">
      <c r="AC80" s="152" t="s">
        <v>96</v>
      </c>
    </row>
    <row r="81" spans="29:30">
      <c r="AC81" s="152" t="s">
        <v>234</v>
      </c>
    </row>
    <row r="82" spans="29:30">
      <c r="AC82" s="152" t="s">
        <v>256</v>
      </c>
    </row>
    <row r="83" spans="29:30">
      <c r="AC83" s="152" t="s">
        <v>88</v>
      </c>
    </row>
    <row r="84" spans="29:30">
      <c r="AC84" s="152" t="s">
        <v>813</v>
      </c>
    </row>
    <row r="85" spans="29:30">
      <c r="AC85" s="152" t="s">
        <v>165</v>
      </c>
    </row>
    <row r="86" spans="29:30">
      <c r="AC86" s="152" t="s">
        <v>826</v>
      </c>
    </row>
    <row r="87" spans="29:30">
      <c r="AC87" s="152" t="s">
        <v>118</v>
      </c>
    </row>
    <row r="88" spans="29:30">
      <c r="AC88" s="152" t="s">
        <v>176</v>
      </c>
    </row>
    <row r="89" spans="29:30">
      <c r="AC89" s="152" t="s">
        <v>810</v>
      </c>
    </row>
    <row r="90" spans="29:30">
      <c r="AC90" s="152" t="s">
        <v>217</v>
      </c>
    </row>
    <row r="91" spans="29:30">
      <c r="AC91" s="152" t="s">
        <v>172</v>
      </c>
    </row>
    <row r="92" spans="29:30">
      <c r="AC92" s="152" t="s">
        <v>167</v>
      </c>
      <c r="AD92" s="219"/>
    </row>
    <row r="93" spans="29:30">
      <c r="AC93" s="152" t="s">
        <v>210</v>
      </c>
    </row>
    <row r="94" spans="29:30">
      <c r="AC94" s="152" t="s">
        <v>91</v>
      </c>
    </row>
    <row r="95" spans="29:30">
      <c r="AC95" s="152" t="s">
        <v>225</v>
      </c>
    </row>
    <row r="96" spans="29:30">
      <c r="AC96" s="152" t="s">
        <v>154</v>
      </c>
    </row>
    <row r="97" spans="29:30">
      <c r="AC97" s="152" t="s">
        <v>156</v>
      </c>
    </row>
    <row r="98" spans="29:30">
      <c r="AC98" s="152" t="s">
        <v>206</v>
      </c>
    </row>
    <row r="99" spans="29:30">
      <c r="AC99" s="152" t="s">
        <v>187</v>
      </c>
      <c r="AD99" s="219"/>
    </row>
    <row r="100" spans="29:30">
      <c r="AC100" s="152" t="s">
        <v>83</v>
      </c>
    </row>
    <row r="101" spans="29:30">
      <c r="AC101" s="152" t="s">
        <v>254</v>
      </c>
      <c r="AD101" s="219"/>
    </row>
    <row r="102" spans="29:30">
      <c r="AC102" s="152" t="s">
        <v>94</v>
      </c>
    </row>
    <row r="103" spans="29:30">
      <c r="AC103" s="152" t="s">
        <v>198</v>
      </c>
      <c r="AD103" s="219"/>
    </row>
    <row r="104" spans="29:30">
      <c r="AC104" s="152" t="s">
        <v>128</v>
      </c>
    </row>
    <row r="105" spans="29:30">
      <c r="AC105" s="152" t="s">
        <v>147</v>
      </c>
    </row>
    <row r="106" spans="29:30">
      <c r="AC106" s="152" t="s">
        <v>240</v>
      </c>
    </row>
    <row r="107" spans="29:30">
      <c r="AC107" s="152" t="s">
        <v>203</v>
      </c>
    </row>
    <row r="108" spans="29:30">
      <c r="AC108" s="152" t="s">
        <v>159</v>
      </c>
    </row>
    <row r="109" spans="29:30">
      <c r="AC109" s="152" t="s">
        <v>119</v>
      </c>
    </row>
    <row r="110" spans="29:30">
      <c r="AC110" s="152" t="s">
        <v>232</v>
      </c>
    </row>
    <row r="111" spans="29:30">
      <c r="AC111" s="152" t="s">
        <v>188</v>
      </c>
    </row>
    <row r="112" spans="29:30">
      <c r="AC112" s="152" t="s">
        <v>244</v>
      </c>
    </row>
    <row r="113" spans="29:30">
      <c r="AC113" s="152" t="s">
        <v>103</v>
      </c>
      <c r="AD113" s="219"/>
    </row>
    <row r="114" spans="29:30">
      <c r="AC114" s="152" t="s">
        <v>808</v>
      </c>
    </row>
    <row r="115" spans="29:30">
      <c r="AC115" s="152" t="s">
        <v>109</v>
      </c>
      <c r="AD115" s="219"/>
    </row>
    <row r="116" spans="29:30">
      <c r="AC116" s="152" t="s">
        <v>242</v>
      </c>
    </row>
    <row r="117" spans="29:30">
      <c r="AC117" s="152" t="s">
        <v>191</v>
      </c>
      <c r="AD117" s="219"/>
    </row>
    <row r="118" spans="29:30">
      <c r="AC118" s="152" t="s">
        <v>797</v>
      </c>
    </row>
    <row r="119" spans="29:30">
      <c r="AC119" s="152" t="s">
        <v>792</v>
      </c>
    </row>
    <row r="120" spans="29:30">
      <c r="AC120" s="152" t="s">
        <v>807</v>
      </c>
      <c r="AD120" s="219"/>
    </row>
    <row r="121" spans="29:30">
      <c r="AC121" s="152" t="s">
        <v>801</v>
      </c>
    </row>
    <row r="122" spans="29:30">
      <c r="AC122" s="152" t="s">
        <v>791</v>
      </c>
      <c r="AD122" s="219"/>
    </row>
    <row r="123" spans="29:30">
      <c r="AC123" s="152" t="s">
        <v>783</v>
      </c>
    </row>
    <row r="124" spans="29:30">
      <c r="AC124" s="152" t="s">
        <v>787</v>
      </c>
      <c r="AD124" s="219"/>
    </row>
    <row r="125" spans="29:30">
      <c r="AC125" s="152" t="s">
        <v>786</v>
      </c>
    </row>
    <row r="126" spans="29:30">
      <c r="AC126" s="152" t="s">
        <v>785</v>
      </c>
    </row>
    <row r="127" spans="29:30">
      <c r="AC127" s="152" t="s">
        <v>806</v>
      </c>
    </row>
    <row r="128" spans="29:30">
      <c r="AC128" s="152" t="s">
        <v>812</v>
      </c>
    </row>
    <row r="129" spans="29:30">
      <c r="AC129" s="152" t="s">
        <v>804</v>
      </c>
    </row>
    <row r="130" spans="29:30">
      <c r="AC130" s="152" t="s">
        <v>790</v>
      </c>
      <c r="AD130" s="219"/>
    </row>
    <row r="131" spans="29:30">
      <c r="AC131" s="152" t="s">
        <v>789</v>
      </c>
    </row>
    <row r="132" spans="29:30">
      <c r="AC132" s="152" t="s">
        <v>799</v>
      </c>
    </row>
    <row r="133" spans="29:30">
      <c r="AC133" s="152" t="s">
        <v>793</v>
      </c>
    </row>
    <row r="134" spans="29:30">
      <c r="AC134" s="152" t="s">
        <v>784</v>
      </c>
      <c r="AD134" s="219"/>
    </row>
    <row r="135" spans="29:30">
      <c r="AC135" s="152" t="s">
        <v>794</v>
      </c>
    </row>
    <row r="136" spans="29:30">
      <c r="AC136" s="152" t="s">
        <v>803</v>
      </c>
    </row>
    <row r="137" spans="29:30">
      <c r="AC137" s="152" t="s">
        <v>798</v>
      </c>
      <c r="AD137" s="219"/>
    </row>
    <row r="138" spans="29:30">
      <c r="AC138" s="152" t="s">
        <v>223</v>
      </c>
    </row>
    <row r="139" spans="29:30">
      <c r="AC139" s="152" t="s">
        <v>208</v>
      </c>
    </row>
    <row r="140" spans="29:30">
      <c r="AC140" s="152" t="s">
        <v>178</v>
      </c>
      <c r="AD140" s="219"/>
    </row>
    <row r="141" spans="29:30">
      <c r="AC141" s="152" t="s">
        <v>108</v>
      </c>
    </row>
    <row r="142" spans="29:30">
      <c r="AC142" s="152" t="s">
        <v>221</v>
      </c>
      <c r="AD142" s="219"/>
    </row>
    <row r="143" spans="29:30">
      <c r="AC143" s="152" t="s">
        <v>151</v>
      </c>
    </row>
    <row r="144" spans="29:30">
      <c r="AC144" s="152" t="s">
        <v>168</v>
      </c>
    </row>
    <row r="145" spans="29:30">
      <c r="AC145" s="152" t="s">
        <v>196</v>
      </c>
      <c r="AD145" s="219"/>
    </row>
    <row r="146" spans="29:30">
      <c r="AC146" s="152" t="s">
        <v>193</v>
      </c>
      <c r="AD146" s="219"/>
    </row>
    <row r="147" spans="29:30">
      <c r="AC147" s="152" t="s">
        <v>185</v>
      </c>
    </row>
    <row r="148" spans="29:30">
      <c r="AC148" s="152" t="s">
        <v>98</v>
      </c>
    </row>
    <row r="149" spans="29:30">
      <c r="AC149" s="152" t="s">
        <v>75</v>
      </c>
    </row>
    <row r="150" spans="29:30">
      <c r="AC150" s="152" t="s">
        <v>161</v>
      </c>
    </row>
    <row r="151" spans="29:30">
      <c r="AC151" s="152" t="s">
        <v>129</v>
      </c>
    </row>
    <row r="152" spans="29:30">
      <c r="AC152" s="152" t="s">
        <v>182</v>
      </c>
    </row>
    <row r="153" spans="29:30">
      <c r="AC153" s="152" t="s">
        <v>170</v>
      </c>
    </row>
    <row r="154" spans="29:30">
      <c r="AC154" s="152" t="s">
        <v>130</v>
      </c>
    </row>
    <row r="155" spans="29:30">
      <c r="AC155" s="152" t="s">
        <v>908</v>
      </c>
    </row>
    <row r="156" spans="29:30">
      <c r="AC156" s="152" t="s">
        <v>135</v>
      </c>
    </row>
    <row r="157" spans="29:30">
      <c r="AC157" s="152" t="s">
        <v>246</v>
      </c>
    </row>
    <row r="158" spans="29:30">
      <c r="AC158" s="152" t="s">
        <v>143</v>
      </c>
    </row>
    <row r="188" spans="30:30">
      <c r="AD188" s="219"/>
    </row>
    <row r="193" spans="30:30">
      <c r="AD193" s="219"/>
    </row>
    <row r="195" spans="30:30">
      <c r="AD195" s="219"/>
    </row>
    <row r="197" spans="30:30">
      <c r="AD197" s="219"/>
    </row>
    <row r="201" spans="30:30">
      <c r="AD201" s="219"/>
    </row>
    <row r="204" spans="30:30">
      <c r="AD204" s="219"/>
    </row>
    <row r="206" spans="30:30">
      <c r="AD206" s="219"/>
    </row>
  </sheetData>
  <sortState ref="AC13:AD158">
    <sortCondition ref="AC13"/>
  </sortState>
  <mergeCells count="3">
    <mergeCell ref="C3:G3"/>
    <mergeCell ref="L3:P3"/>
    <mergeCell ref="U3:Y3"/>
  </mergeCells>
  <phoneticPr fontId="3"/>
  <conditionalFormatting sqref="C13:C56">
    <cfRule type="expression" dxfId="201" priority="96">
      <formula>C13=MAX(C$13:C$56)</formula>
    </cfRule>
    <cfRule type="expression" dxfId="200" priority="97">
      <formula>C13=MIN(C$13:C$56)</formula>
    </cfRule>
    <cfRule type="expression" dxfId="199" priority="98" stopIfTrue="1">
      <formula>C$12&lt;C13</formula>
    </cfRule>
    <cfRule type="expression" dxfId="198" priority="99" stopIfTrue="1">
      <formula>C$12&gt;C13</formula>
    </cfRule>
  </conditionalFormatting>
  <conditionalFormatting sqref="U13">
    <cfRule type="expression" dxfId="197" priority="100" stopIfTrue="1">
      <formula>$U$12&lt;$U13</formula>
    </cfRule>
    <cfRule type="expression" dxfId="196" priority="101" stopIfTrue="1">
      <formula>$U$12&gt;$U13</formula>
    </cfRule>
  </conditionalFormatting>
  <conditionalFormatting sqref="D13:D56">
    <cfRule type="expression" dxfId="195" priority="92">
      <formula>D13=MAX(D$13:D$56)</formula>
    </cfRule>
    <cfRule type="expression" dxfId="194" priority="93">
      <formula>D13=MIN(D$13:D$56)</formula>
    </cfRule>
    <cfRule type="expression" dxfId="193" priority="94" stopIfTrue="1">
      <formula>D$12&lt;D13</formula>
    </cfRule>
    <cfRule type="expression" dxfId="192" priority="95" stopIfTrue="1">
      <formula>D$12&gt;D13</formula>
    </cfRule>
  </conditionalFormatting>
  <conditionalFormatting sqref="E13:E56">
    <cfRule type="expression" dxfId="191" priority="88">
      <formula>E13=MAX(E$13:E$56)</formula>
    </cfRule>
    <cfRule type="expression" dxfId="190" priority="89">
      <formula>E13=MIN(E$13:E$56)</formula>
    </cfRule>
    <cfRule type="expression" dxfId="189" priority="90" stopIfTrue="1">
      <formula>E$12&lt;E13</formula>
    </cfRule>
    <cfRule type="expression" dxfId="188" priority="91" stopIfTrue="1">
      <formula>E$12&gt;E13</formula>
    </cfRule>
  </conditionalFormatting>
  <conditionalFormatting sqref="F13:F56">
    <cfRule type="expression" dxfId="187" priority="84">
      <formula>F13=MAX(F$13:F$56)</formula>
    </cfRule>
    <cfRule type="expression" dxfId="186" priority="85">
      <formula>F13=MIN(F$13:F$56)</formula>
    </cfRule>
    <cfRule type="expression" dxfId="185" priority="86" stopIfTrue="1">
      <formula>F$12&lt;F13</formula>
    </cfRule>
    <cfRule type="expression" dxfId="184" priority="87" stopIfTrue="1">
      <formula>F$12&gt;F13</formula>
    </cfRule>
  </conditionalFormatting>
  <conditionalFormatting sqref="G13:G56">
    <cfRule type="expression" dxfId="183" priority="80">
      <formula>G13=MAX(G$13:G$56)</formula>
    </cfRule>
    <cfRule type="expression" dxfId="182" priority="81">
      <formula>G13=MIN(G$13:G$56)</formula>
    </cfRule>
    <cfRule type="expression" dxfId="181" priority="82" stopIfTrue="1">
      <formula>G$12&lt;G13</formula>
    </cfRule>
    <cfRule type="expression" dxfId="180" priority="83" stopIfTrue="1">
      <formula>G$12&gt;G13</formula>
    </cfRule>
  </conditionalFormatting>
  <conditionalFormatting sqref="H13:H56">
    <cfRule type="expression" dxfId="179" priority="76">
      <formula>H13=MAX(H$13:H$56)</formula>
    </cfRule>
    <cfRule type="expression" dxfId="178" priority="77">
      <formula>H13=MIN(H$13:H$56)</formula>
    </cfRule>
    <cfRule type="expression" dxfId="177" priority="78" stopIfTrue="1">
      <formula>H$12&lt;H13</formula>
    </cfRule>
    <cfRule type="expression" dxfId="176" priority="79" stopIfTrue="1">
      <formula>H$12&gt;H13</formula>
    </cfRule>
  </conditionalFormatting>
  <conditionalFormatting sqref="L13:L56">
    <cfRule type="expression" dxfId="175" priority="72">
      <formula>L13=MAX(L$13:L$56)</formula>
    </cfRule>
    <cfRule type="expression" dxfId="174" priority="73">
      <formula>L13=MIN(L$13:L$56)</formula>
    </cfRule>
    <cfRule type="expression" dxfId="173" priority="74" stopIfTrue="1">
      <formula>L$12&lt;L13</formula>
    </cfRule>
    <cfRule type="expression" dxfId="172" priority="75" stopIfTrue="1">
      <formula>L$12&gt;L13</formula>
    </cfRule>
  </conditionalFormatting>
  <conditionalFormatting sqref="M13:M56">
    <cfRule type="expression" dxfId="171" priority="68">
      <formula>M13=MAX(M$13:M$56)</formula>
    </cfRule>
    <cfRule type="expression" dxfId="170" priority="69">
      <formula>M13=MIN(M$13:M$56)</formula>
    </cfRule>
    <cfRule type="expression" dxfId="169" priority="70" stopIfTrue="1">
      <formula>M$12&lt;M13</formula>
    </cfRule>
    <cfRule type="expression" dxfId="168" priority="71" stopIfTrue="1">
      <formula>M$12&gt;M13</formula>
    </cfRule>
  </conditionalFormatting>
  <conditionalFormatting sqref="N13:N56">
    <cfRule type="expression" dxfId="167" priority="64">
      <formula>N13=MAX(N$13:N$56)</formula>
    </cfRule>
    <cfRule type="expression" dxfId="166" priority="65">
      <formula>N13=MIN(N$13:N$56)</formula>
    </cfRule>
    <cfRule type="expression" dxfId="165" priority="66" stopIfTrue="1">
      <formula>N$12&lt;N13</formula>
    </cfRule>
    <cfRule type="expression" dxfId="164" priority="67" stopIfTrue="1">
      <formula>N$12&gt;N13</formula>
    </cfRule>
  </conditionalFormatting>
  <conditionalFormatting sqref="O13:O56">
    <cfRule type="expression" dxfId="163" priority="60">
      <formula>O13=MAX(O$13:O$56)</formula>
    </cfRule>
    <cfRule type="expression" dxfId="162" priority="61">
      <formula>O13=MIN(O$13:O$56)</formula>
    </cfRule>
    <cfRule type="expression" dxfId="161" priority="62" stopIfTrue="1">
      <formula>O$12&lt;O13</formula>
    </cfRule>
    <cfRule type="expression" dxfId="160" priority="63" stopIfTrue="1">
      <formula>O$12&gt;O13</formula>
    </cfRule>
  </conditionalFormatting>
  <conditionalFormatting sqref="P13:P56">
    <cfRule type="expression" dxfId="159" priority="56">
      <formula>P13=MAX(P$13:P$56)</formula>
    </cfRule>
    <cfRule type="expression" dxfId="158" priority="57">
      <formula>P13=MIN(P$13:P$56)</formula>
    </cfRule>
    <cfRule type="expression" dxfId="157" priority="58" stopIfTrue="1">
      <formula>P$12&lt;P13</formula>
    </cfRule>
    <cfRule type="expression" dxfId="156" priority="59" stopIfTrue="1">
      <formula>P$12&gt;P13</formula>
    </cfRule>
  </conditionalFormatting>
  <conditionalFormatting sqref="Q13:Q56">
    <cfRule type="expression" dxfId="155" priority="52">
      <formula>Q13=MAX(Q$13:Q$56)</formula>
    </cfRule>
    <cfRule type="expression" dxfId="154" priority="53">
      <formula>Q13=MIN(Q$13:Q$56)</formula>
    </cfRule>
    <cfRule type="expression" dxfId="153" priority="54" stopIfTrue="1">
      <formula>Q$12&lt;Q13</formula>
    </cfRule>
    <cfRule type="expression" dxfId="152" priority="55" stopIfTrue="1">
      <formula>Q$12&gt;Q13</formula>
    </cfRule>
  </conditionalFormatting>
  <conditionalFormatting sqref="U14:U56">
    <cfRule type="expression" dxfId="151" priority="48">
      <formula>U14=MAX(U$13:U$56)</formula>
    </cfRule>
    <cfRule type="expression" dxfId="150" priority="49">
      <formula>U14=MIN(U$13:U$56)</formula>
    </cfRule>
    <cfRule type="expression" dxfId="149" priority="50" stopIfTrue="1">
      <formula>U$12&lt;U14</formula>
    </cfRule>
    <cfRule type="expression" dxfId="148" priority="51" stopIfTrue="1">
      <formula>U$12&gt;U14</formula>
    </cfRule>
  </conditionalFormatting>
  <conditionalFormatting sqref="V13:V56">
    <cfRule type="expression" dxfId="147" priority="44">
      <formula>V13=MAX(V$13:V$56)</formula>
    </cfRule>
    <cfRule type="expression" dxfId="146" priority="45">
      <formula>V13=MIN(V$13:V$56)</formula>
    </cfRule>
    <cfRule type="expression" dxfId="145" priority="46" stopIfTrue="1">
      <formula>V$12&lt;V13</formula>
    </cfRule>
    <cfRule type="expression" dxfId="144" priority="47" stopIfTrue="1">
      <formula>V$12&gt;V13</formula>
    </cfRule>
  </conditionalFormatting>
  <conditionalFormatting sqref="W13:W56">
    <cfRule type="expression" dxfId="143" priority="40">
      <formula>W13=MAX(W$13:W$56)</formula>
    </cfRule>
    <cfRule type="expression" dxfId="142" priority="41">
      <formula>W13=MIN(W$13:W$56)</formula>
    </cfRule>
    <cfRule type="expression" dxfId="141" priority="42" stopIfTrue="1">
      <formula>W$12&lt;W13</formula>
    </cfRule>
    <cfRule type="expression" dxfId="140" priority="43" stopIfTrue="1">
      <formula>W$12&gt;W13</formula>
    </cfRule>
  </conditionalFormatting>
  <conditionalFormatting sqref="X13:X56">
    <cfRule type="expression" dxfId="139" priority="36">
      <formula>X13=MAX(X$13:X$56)</formula>
    </cfRule>
    <cfRule type="expression" dxfId="138" priority="37">
      <formula>X13=MIN(X$13:X$56)</formula>
    </cfRule>
    <cfRule type="expression" dxfId="137" priority="38" stopIfTrue="1">
      <formula>X$12&lt;X13</formula>
    </cfRule>
    <cfRule type="expression" dxfId="136" priority="39" stopIfTrue="1">
      <formula>X$12&gt;X13</formula>
    </cfRule>
  </conditionalFormatting>
  <conditionalFormatting sqref="Y13:Y56">
    <cfRule type="expression" dxfId="135" priority="32">
      <formula>Y13=MAX(Y$13:Y$56)</formula>
    </cfRule>
    <cfRule type="expression" dxfId="134" priority="33">
      <formula>Y13=MIN(Y$13:Y$56)</formula>
    </cfRule>
    <cfRule type="expression" dxfId="133" priority="34" stopIfTrue="1">
      <formula>Y$12&lt;Y13</formula>
    </cfRule>
    <cfRule type="expression" dxfId="132" priority="35" stopIfTrue="1">
      <formula>Y$12&gt;Y13</formula>
    </cfRule>
  </conditionalFormatting>
  <conditionalFormatting sqref="Z13:Z56">
    <cfRule type="expression" dxfId="131" priority="28">
      <formula>Z13=MAX(Z$13:Z$56)</formula>
    </cfRule>
    <cfRule type="expression" dxfId="130" priority="29">
      <formula>Z13=MIN(Z$13:Z$56)</formula>
    </cfRule>
    <cfRule type="expression" dxfId="129" priority="30" stopIfTrue="1">
      <formula>Z$12&lt;Z13</formula>
    </cfRule>
    <cfRule type="expression" dxfId="128" priority="31" stopIfTrue="1">
      <formula>Z$12&gt;Z13</formula>
    </cfRule>
  </conditionalFormatting>
  <conditionalFormatting sqref="C7">
    <cfRule type="expression" dxfId="127" priority="23">
      <formula>C$7="B"</formula>
    </cfRule>
    <cfRule type="expression" dxfId="126" priority="24">
      <formula>C$7="C"</formula>
    </cfRule>
    <cfRule type="expression" dxfId="125" priority="25">
      <formula>C$7="D"</formula>
    </cfRule>
    <cfRule type="expression" dxfId="124" priority="26">
      <formula>C$7="E"</formula>
    </cfRule>
    <cfRule type="expression" dxfId="123" priority="27">
      <formula>C$7="F"</formula>
    </cfRule>
  </conditionalFormatting>
  <conditionalFormatting sqref="L7">
    <cfRule type="expression" dxfId="122" priority="18">
      <formula>L$7="B"</formula>
    </cfRule>
    <cfRule type="expression" dxfId="121" priority="19">
      <formula>L$7="C"</formula>
    </cfRule>
    <cfRule type="expression" dxfId="120" priority="20">
      <formula>L$7="D"</formula>
    </cfRule>
    <cfRule type="expression" dxfId="119" priority="21">
      <formula>L$7="E"</formula>
    </cfRule>
    <cfRule type="expression" dxfId="118" priority="22">
      <formula>L$7="F"</formula>
    </cfRule>
  </conditionalFormatting>
  <conditionalFormatting sqref="U7">
    <cfRule type="expression" dxfId="117" priority="13">
      <formula>U$7="B"</formula>
    </cfRule>
    <cfRule type="expression" dxfId="116" priority="14">
      <formula>U$7="C"</formula>
    </cfRule>
    <cfRule type="expression" dxfId="115" priority="15">
      <formula>U$7="D"</formula>
    </cfRule>
    <cfRule type="expression" dxfId="114" priority="16">
      <formula>U$7="E"</formula>
    </cfRule>
    <cfRule type="expression" dxfId="113" priority="17">
      <formula>U$7="F"</formula>
    </cfRule>
  </conditionalFormatting>
  <conditionalFormatting sqref="I13:I56">
    <cfRule type="expression" dxfId="112" priority="9">
      <formula>I13=MAX(I$13:I$56)</formula>
    </cfRule>
    <cfRule type="expression" dxfId="111" priority="10">
      <formula>I13=MIN(I$13:I$56)</formula>
    </cfRule>
    <cfRule type="expression" dxfId="110" priority="11" stopIfTrue="1">
      <formula>I$12&lt;I13</formula>
    </cfRule>
    <cfRule type="expression" dxfId="109" priority="12" stopIfTrue="1">
      <formula>I$12&gt;I13</formula>
    </cfRule>
  </conditionalFormatting>
  <conditionalFormatting sqref="R13:R56">
    <cfRule type="expression" dxfId="108" priority="5">
      <formula>R13=MAX(R$13:R$56)</formula>
    </cfRule>
    <cfRule type="expression" dxfId="107" priority="6">
      <formula>R13=MIN(R$13:R$56)</formula>
    </cfRule>
    <cfRule type="expression" dxfId="106" priority="7" stopIfTrue="1">
      <formula>R$12&lt;R13</formula>
    </cfRule>
    <cfRule type="expression" dxfId="105" priority="8" stopIfTrue="1">
      <formula>R$12&gt;R13</formula>
    </cfRule>
  </conditionalFormatting>
  <conditionalFormatting sqref="AA13:AA56">
    <cfRule type="expression" dxfId="104" priority="1">
      <formula>AA13=MAX(AA$13:AA$56)</formula>
    </cfRule>
    <cfRule type="expression" dxfId="103" priority="2">
      <formula>AA13=MIN(AA$13:AA$56)</formula>
    </cfRule>
    <cfRule type="expression" dxfId="102" priority="3" stopIfTrue="1">
      <formula>AA$12&lt;AA13</formula>
    </cfRule>
    <cfRule type="expression" dxfId="101" priority="4" stopIfTrue="1">
      <formula>AA$12&gt;AA13</formula>
    </cfRule>
  </conditionalFormatting>
  <dataValidations count="3">
    <dataValidation type="list" allowBlank="1" showInputMessage="1" showErrorMessage="1" sqref="B7 T7 K7">
      <formula1>$AC$13:$AC$207</formula1>
    </dataValidation>
    <dataValidation type="list" allowBlank="1" showInputMessage="1" showErrorMessage="1" sqref="C4 L4 U4">
      <formula1>"通常,上位"</formula1>
    </dataValidation>
    <dataValidation type="list" allowBlank="1" showInputMessage="1" showErrorMessage="1" sqref="C3:G3 L3:P3 U3:Y3">
      <formula1>$AD$13:$AD$31</formula1>
    </dataValidation>
  </dataValidations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D158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/>
  <cols>
    <col min="1" max="1" width="2" customWidth="1"/>
    <col min="2" max="2" width="18.625" customWidth="1"/>
    <col min="3" max="8" width="4.625" customWidth="1"/>
    <col min="9" max="9" width="6.125" style="148" customWidth="1"/>
    <col min="10" max="10" width="2.625" style="29" customWidth="1"/>
    <col min="11" max="11" width="18.625" customWidth="1"/>
    <col min="12" max="17" width="4.625" customWidth="1"/>
    <col min="18" max="18" width="6.125" style="148" customWidth="1"/>
    <col min="19" max="19" width="2.625" customWidth="1"/>
    <col min="20" max="20" width="18.625" customWidth="1"/>
    <col min="21" max="26" width="4.625" customWidth="1"/>
    <col min="27" max="27" width="6.125" style="148" customWidth="1"/>
    <col min="28" max="28" width="3.125" customWidth="1"/>
    <col min="29" max="29" width="8.625" style="152" customWidth="1"/>
    <col min="30" max="30" width="9" style="149"/>
  </cols>
  <sheetData>
    <row r="1" spans="1:30" ht="18.75">
      <c r="A1" s="26" t="s">
        <v>944</v>
      </c>
    </row>
    <row r="2" spans="1:30" ht="12" customHeight="1" thickBot="1"/>
    <row r="3" spans="1:30" s="148" customFormat="1" ht="12" customHeight="1" thickBot="1">
      <c r="B3" s="184" t="s">
        <v>823</v>
      </c>
      <c r="C3" s="286" t="s">
        <v>858</v>
      </c>
      <c r="D3" s="287"/>
      <c r="E3" s="287"/>
      <c r="F3" s="287"/>
      <c r="G3" s="288"/>
      <c r="J3" s="29"/>
      <c r="K3" s="184" t="s">
        <v>823</v>
      </c>
      <c r="L3" s="286" t="s">
        <v>864</v>
      </c>
      <c r="M3" s="287"/>
      <c r="N3" s="287"/>
      <c r="O3" s="287"/>
      <c r="P3" s="288"/>
      <c r="T3" s="184" t="s">
        <v>823</v>
      </c>
      <c r="U3" s="286" t="s">
        <v>858</v>
      </c>
      <c r="V3" s="287"/>
      <c r="W3" s="287"/>
      <c r="X3" s="287"/>
      <c r="Y3" s="288"/>
      <c r="AC3" s="152"/>
      <c r="AD3" s="149"/>
    </row>
    <row r="4" spans="1:30" s="148" customFormat="1" ht="12" customHeight="1" thickBot="1">
      <c r="B4" s="184" t="s">
        <v>824</v>
      </c>
      <c r="C4" s="218" t="s">
        <v>834</v>
      </c>
      <c r="D4" s="185"/>
      <c r="E4" s="185"/>
      <c r="F4" s="185"/>
      <c r="G4" s="185"/>
      <c r="J4" s="29"/>
      <c r="K4" s="184" t="s">
        <v>824</v>
      </c>
      <c r="L4" s="218" t="s">
        <v>834</v>
      </c>
      <c r="M4" s="185"/>
      <c r="N4" s="185"/>
      <c r="O4" s="185"/>
      <c r="P4" s="185"/>
      <c r="T4" s="184" t="s">
        <v>824</v>
      </c>
      <c r="U4" s="218" t="s">
        <v>834</v>
      </c>
      <c r="V4" s="185"/>
      <c r="W4" s="185"/>
      <c r="X4" s="185"/>
      <c r="Y4" s="185"/>
      <c r="AC4" s="152"/>
      <c r="AD4" s="149"/>
    </row>
    <row r="5" spans="1:30" s="148" customFormat="1" ht="12" customHeight="1" thickBot="1">
      <c r="J5" s="29"/>
      <c r="AC5" s="152"/>
      <c r="AD5" s="149"/>
    </row>
    <row r="6" spans="1:30" s="55" customFormat="1" ht="12">
      <c r="B6" s="52" t="s">
        <v>74</v>
      </c>
      <c r="C6" s="53" t="s">
        <v>308</v>
      </c>
      <c r="D6" s="54" t="s">
        <v>768</v>
      </c>
      <c r="J6" s="56"/>
      <c r="K6" s="71" t="s">
        <v>74</v>
      </c>
      <c r="L6" s="72" t="s">
        <v>308</v>
      </c>
      <c r="M6" s="54" t="s">
        <v>768</v>
      </c>
      <c r="T6" s="66" t="s">
        <v>74</v>
      </c>
      <c r="U6" s="67" t="s">
        <v>308</v>
      </c>
      <c r="V6" s="54" t="s">
        <v>768</v>
      </c>
      <c r="AC6" s="152"/>
      <c r="AD6" s="150"/>
    </row>
    <row r="7" spans="1:30" s="55" customFormat="1" ht="14.25" thickBot="1">
      <c r="B7" s="133" t="s">
        <v>163</v>
      </c>
      <c r="C7" s="141" t="str">
        <f>VLOOKUP(B7,'モンスター　一覧'!$B$4:$E$198,2,FALSE)</f>
        <v>E</v>
      </c>
      <c r="D7" s="57" t="s">
        <v>337</v>
      </c>
      <c r="J7" s="56"/>
      <c r="K7" s="133" t="s">
        <v>196</v>
      </c>
      <c r="L7" s="141" t="str">
        <f>VLOOKUP(K7,'モンスター　一覧'!$B$4:$E$198,2,FALSE)</f>
        <v>D</v>
      </c>
      <c r="M7" s="57" t="s">
        <v>337</v>
      </c>
      <c r="T7" s="133" t="s">
        <v>196</v>
      </c>
      <c r="U7" s="141" t="str">
        <f>VLOOKUP(T7,'モンスター　一覧'!$B$4:$E$198,2,FALSE)</f>
        <v>D</v>
      </c>
      <c r="V7" s="57" t="s">
        <v>337</v>
      </c>
      <c r="AC7" s="152"/>
      <c r="AD7" s="150"/>
    </row>
    <row r="8" spans="1:30" s="55" customFormat="1" ht="12">
      <c r="B8" s="234" t="s">
        <v>945</v>
      </c>
      <c r="D8" s="58" t="s">
        <v>338</v>
      </c>
      <c r="J8" s="56"/>
      <c r="K8" s="234" t="s">
        <v>945</v>
      </c>
      <c r="M8" s="58" t="s">
        <v>338</v>
      </c>
      <c r="T8" s="234" t="s">
        <v>945</v>
      </c>
      <c r="V8" s="58" t="s">
        <v>338</v>
      </c>
      <c r="AC8" s="152"/>
      <c r="AD8" s="150"/>
    </row>
    <row r="9" spans="1:30" s="55" customFormat="1" ht="12">
      <c r="D9" s="134" t="s">
        <v>766</v>
      </c>
      <c r="J9" s="56"/>
      <c r="M9" s="134" t="s">
        <v>766</v>
      </c>
      <c r="V9" s="134" t="s">
        <v>766</v>
      </c>
      <c r="AC9" s="152"/>
      <c r="AD9" s="150"/>
    </row>
    <row r="10" spans="1:30" s="55" customFormat="1" ht="12.75" thickBot="1">
      <c r="D10" s="134" t="s">
        <v>767</v>
      </c>
      <c r="J10" s="56"/>
      <c r="M10" s="134" t="s">
        <v>767</v>
      </c>
      <c r="V10" s="134" t="s">
        <v>767</v>
      </c>
      <c r="AC10" s="152"/>
      <c r="AD10" s="150"/>
    </row>
    <row r="11" spans="1:30" s="55" customFormat="1" ht="12">
      <c r="B11" s="59" t="s">
        <v>331</v>
      </c>
      <c r="C11" s="60" t="s">
        <v>6</v>
      </c>
      <c r="D11" s="60" t="s">
        <v>7</v>
      </c>
      <c r="E11" s="60" t="s">
        <v>8</v>
      </c>
      <c r="F11" s="60" t="s">
        <v>9</v>
      </c>
      <c r="G11" s="60" t="s">
        <v>332</v>
      </c>
      <c r="H11" s="61" t="s">
        <v>11</v>
      </c>
      <c r="I11" s="203" t="s">
        <v>828</v>
      </c>
      <c r="J11" s="56"/>
      <c r="K11" s="68" t="s">
        <v>331</v>
      </c>
      <c r="L11" s="69" t="s">
        <v>6</v>
      </c>
      <c r="M11" s="69" t="s">
        <v>7</v>
      </c>
      <c r="N11" s="69" t="s">
        <v>8</v>
      </c>
      <c r="O11" s="69" t="s">
        <v>9</v>
      </c>
      <c r="P11" s="69" t="s">
        <v>332</v>
      </c>
      <c r="Q11" s="70" t="s">
        <v>11</v>
      </c>
      <c r="R11" s="208" t="s">
        <v>828</v>
      </c>
      <c r="T11" s="73" t="s">
        <v>331</v>
      </c>
      <c r="U11" s="74" t="s">
        <v>6</v>
      </c>
      <c r="V11" s="74" t="s">
        <v>7</v>
      </c>
      <c r="W11" s="74" t="s">
        <v>8</v>
      </c>
      <c r="X11" s="74" t="s">
        <v>9</v>
      </c>
      <c r="Y11" s="74" t="s">
        <v>332</v>
      </c>
      <c r="Z11" s="75" t="s">
        <v>11</v>
      </c>
      <c r="AA11" s="210" t="s">
        <v>828</v>
      </c>
      <c r="AC11" s="152"/>
      <c r="AD11" s="150"/>
    </row>
    <row r="12" spans="1:30" s="63" customFormat="1" ht="12">
      <c r="B12" s="62" t="s">
        <v>55</v>
      </c>
      <c r="C12" s="192">
        <f>IF($C$4="通常",(VLOOKUP($B$7,'モンスター　一覧'!$B$4:$O$198,9,FALSE)*性格一覧!$B3)*0.01*(VLOOKUP($C$3,ギルド一覧!$B$4:$R$29,6,FALSE)),(VLOOKUP($B$7,'モンスター　一覧'!$B$4:$O$198,9,FALSE)*性格一覧!$B3)*0.01*(VLOOKUP($C$3,ギルド一覧!$B$4:$R$29,12,FALSE)))</f>
        <v>146</v>
      </c>
      <c r="D12" s="192">
        <f>IF($C$4="通常",(VLOOKUP($B$7,'モンスター　一覧'!$B$4:$O$198,10,FALSE)*性格一覧!$C3)*0.01*(VLOOKUP($C$3,ギルド一覧!$B$4:$R$29,7,FALSE)),(VLOOKUP($B$7,'モンスター　一覧'!$B$4:$O$198,10,FALSE)*性格一覧!$C3)*0.01*(VLOOKUP($C$3,ギルド一覧!$B$4:$R$29,13,FALSE)))</f>
        <v>73</v>
      </c>
      <c r="E12" s="192">
        <f>IF($C$4="通常",(VLOOKUP($B$7,'モンスター　一覧'!$B$4:$O$198,11,FALSE)*性格一覧!$D3)*0.01*(VLOOKUP($C$3,ギルド一覧!$B$4:$R$29,8,FALSE)),(VLOOKUP($B$7,'モンスター　一覧'!$B$4:$O$198,11,FALSE)*性格一覧!$D3)*0.01*(VLOOKUP($C$3,ギルド一覧!$B$4:$R$29,14,FALSE)))</f>
        <v>69</v>
      </c>
      <c r="F12" s="192">
        <f>IF($C$4="通常",(VLOOKUP($B$7,'モンスター　一覧'!$B$4:$O$198,12,FALSE)*性格一覧!$E3)*0.01*(VLOOKUP($C$3,ギルド一覧!$B$4:$R$29,9,FALSE)),(VLOOKUP($B$7,'モンスター　一覧'!$B$4:$O$198,12,FALSE)*性格一覧!$E3)*0.01*(VLOOKUP($C$3,ギルド一覧!$B$4:$R$29,15,FALSE)))</f>
        <v>82</v>
      </c>
      <c r="G12" s="192">
        <f>IF($C$4="通常",(VLOOKUP($B$7,'モンスター　一覧'!$B$4:$O$198,13,FALSE)*性格一覧!$F3)*0.01*(VLOOKUP($C$3,ギルド一覧!$B$4:$R$29,10,FALSE)),(VLOOKUP($B$7,'モンスター　一覧'!$B$4:$O$198,13,FALSE)*性格一覧!$F3)*0.01*(VLOOKUP($C$3,ギルド一覧!$B$4:$R$29,16,FALSE)))</f>
        <v>80</v>
      </c>
      <c r="H12" s="220">
        <f>IF($C$4="通常",(VLOOKUP($B$7,'モンスター　一覧'!$B$4:$O$198,14,FALSE)*性格一覧!$G3)*0.01*(VLOOKUP($C$3,ギルド一覧!$B$4:$R$29,11,FALSE)),(VLOOKUP($B$7,'モンスター　一覧'!$B$4:$O$198,14,FALSE)*性格一覧!$G3)*0.01*(VLOOKUP($C$3,ギルド一覧!$B$4:$R$29,17,FALSE)))</f>
        <v>154</v>
      </c>
      <c r="I12" s="204">
        <f>SUM(C12:H12)</f>
        <v>604</v>
      </c>
      <c r="J12" s="56"/>
      <c r="K12" s="62" t="s">
        <v>55</v>
      </c>
      <c r="L12" s="192">
        <f>IF($L$4="通常",(VLOOKUP($K$7,'モンスター　一覧'!$B$4:$O$198,9,FALSE)*性格一覧!$B3)*0.01*(VLOOKUP($L$3,ギルド一覧!$B$4:$R$29,6,FALSE)),(VLOOKUP($K$7,'モンスター　一覧'!$B$4:$O$198,9,FALSE)*性格一覧!$B3)*0.01*(VLOOKUP($L$3,ギルド一覧!$B$4:$R$29,12,FALSE)))</f>
        <v>31</v>
      </c>
      <c r="M12" s="192">
        <f>IF($L$4="通常",(VLOOKUP($K$7,'モンスター　一覧'!$B$4:$O$198,10,FALSE)*性格一覧!$C3)*0.01*(VLOOKUP($L$3,ギルド一覧!$B$4:$R$29,7,FALSE)),(VLOOKUP($K$7,'モンスター　一覧'!$B$4:$O$198,10,FALSE)*性格一覧!$C3)*0.01*(VLOOKUP($L$3,ギルド一覧!$B$4:$R$29,13,FALSE)))</f>
        <v>39</v>
      </c>
      <c r="N12" s="192">
        <f>IF($L$4="通常",(VLOOKUP($K$7,'モンスター　一覧'!$B$4:$O$198,11,FALSE)*性格一覧!$D3)*0.01*(VLOOKUP($L$3,ギルド一覧!$B$4:$R$29,8,FALSE)),(VLOOKUP($K$7,'モンスター　一覧'!$B$4:$O$198,11,FALSE)*性格一覧!$D3)*0.01*(VLOOKUP($L$3,ギルド一覧!$B$4:$R$29,14,FALSE)))</f>
        <v>46.800000000000004</v>
      </c>
      <c r="O12" s="192">
        <f>IF($L$4="通常",(VLOOKUP($K$7,'モンスター　一覧'!$B$4:$O$198,12,FALSE)*性格一覧!$E3)*0.01*(VLOOKUP($L$3,ギルド一覧!$B$4:$R$29,9,FALSE)),(VLOOKUP($K$7,'モンスター　一覧'!$B$4:$O$198,12,FALSE)*性格一覧!$E3)*0.01*(VLOOKUP($L$3,ギルド一覧!$B$4:$R$29,15,FALSE)))</f>
        <v>449.1</v>
      </c>
      <c r="P12" s="192">
        <f>IF($L$4="通常",(VLOOKUP($K$7,'モンスター　一覧'!$B$4:$O$198,13,FALSE)*性格一覧!$F3)*0.01*(VLOOKUP($L$3,ギルド一覧!$B$4:$R$29,10,FALSE)),(VLOOKUP($K$7,'モンスター　一覧'!$B$4:$O$198,13,FALSE)*性格一覧!$F3)*0.01*(VLOOKUP($L$3,ギルド一覧!$B$4:$R$29,16,FALSE)))</f>
        <v>352</v>
      </c>
      <c r="Q12" s="220">
        <f>IF($L$4="通常",(VLOOKUP($K$7,'モンスター　一覧'!$B$4:$O$198,14,FALSE)*性格一覧!$G3)*0.01*(VLOOKUP($L$3,ギルド一覧!$B$4:$R$29,11,FALSE)),(VLOOKUP($K$7,'モンスター　一覧'!$B$4:$O$198,14,FALSE)*性格一覧!$G3)*0.01*(VLOOKUP($L$3,ギルド一覧!$B$4:$R$29,17,FALSE)))</f>
        <v>45</v>
      </c>
      <c r="R12" s="204">
        <f>SUM(L12:Q12)</f>
        <v>962.90000000000009</v>
      </c>
      <c r="T12" s="62" t="s">
        <v>55</v>
      </c>
      <c r="U12" s="192">
        <f>IF($U$4="通常",(VLOOKUP($T$7,'モンスター　一覧'!$B$4:$O$198,9,FALSE)*性格一覧!$B3)*0.01*(VLOOKUP($U$3,ギルド一覧!$B$4:$R$29,6,FALSE)),(VLOOKUP($T$7,'モンスター　一覧'!$B$4:$O$198,9,FALSE)*性格一覧!$B3)*0.01*(VLOOKUP($U$3,ギルド一覧!$B$4:$R$29,12,FALSE)))</f>
        <v>31</v>
      </c>
      <c r="V12" s="192">
        <f>IF($U$4="通常",(VLOOKUP($T$7,'モンスター　一覧'!$B$4:$O$198,10,FALSE)*性格一覧!$C3)*0.01*(VLOOKUP($U$3,ギルド一覧!$B$4:$R$29,7,FALSE)),(VLOOKUP($T$7,'モンスター　一覧'!$B$4:$O$198,10,FALSE)*性格一覧!$C3)*0.01*(VLOOKUP($U$3,ギルド一覧!$B$4:$R$29,13,FALSE)))</f>
        <v>39</v>
      </c>
      <c r="W12" s="192">
        <f>IF($U$4="通常",(VLOOKUP($T$7,'モンスター　一覧'!$B$4:$O$198,11,FALSE)*性格一覧!$D3)*0.01*(VLOOKUP($U$3,ギルド一覧!$B$4:$R$29,8,FALSE)),(VLOOKUP($T$7,'モンスター　一覧'!$B$4:$O$198,11,FALSE)*性格一覧!$D3)*0.01*(VLOOKUP($U$3,ギルド一覧!$B$4:$R$29,14,FALSE)))</f>
        <v>36</v>
      </c>
      <c r="X12" s="192">
        <f>IF($U$4="通常",(VLOOKUP($T$7,'モンスター　一覧'!$B$4:$O$198,12,FALSE)*性格一覧!$E3)*0.01*(VLOOKUP($U$3,ギルド一覧!$B$4:$R$29,9,FALSE)),(VLOOKUP($T$7,'モンスター　一覧'!$B$4:$O$198,12,FALSE)*性格一覧!$E3)*0.01*(VLOOKUP($U$3,ギルド一覧!$B$4:$R$29,15,FALSE)))</f>
        <v>499</v>
      </c>
      <c r="Y12" s="192">
        <f>IF($U$4="通常",(VLOOKUP($T$7,'モンスター　一覧'!$B$4:$O$198,13,FALSE)*性格一覧!$F3)*0.01*(VLOOKUP($U$3,ギルド一覧!$B$4:$R$29,10,FALSE)),(VLOOKUP($T$7,'モンスター　一覧'!$B$4:$O$198,13,FALSE)*性格一覧!$F3)*0.01*(VLOOKUP($U$3,ギルド一覧!$B$4:$R$29,16,FALSE)))</f>
        <v>352</v>
      </c>
      <c r="Z12" s="220">
        <f>IF($U$4="通常",(VLOOKUP($T$7,'モンスター　一覧'!$B$4:$O$198,14,FALSE)*性格一覧!$G3)*0.01*(VLOOKUP($U$3,ギルド一覧!$B$4:$R$29,11,FALSE)),(VLOOKUP($T$7,'モンスター　一覧'!$B$4:$O$198,14,FALSE)*性格一覧!$G3)*0.01*(VLOOKUP($U$3,ギルド一覧!$B$4:$R$29,17,FALSE)))</f>
        <v>45</v>
      </c>
      <c r="AA12" s="204">
        <f>SUM(U12:Z12)</f>
        <v>1002</v>
      </c>
      <c r="AC12" s="152"/>
      <c r="AD12" s="151"/>
    </row>
    <row r="13" spans="1:30" s="55" customFormat="1" ht="12">
      <c r="B13" s="64" t="s">
        <v>12</v>
      </c>
      <c r="C13" s="193">
        <f>IF($C$4="通常",(VLOOKUP($B$7,'モンスター　一覧'!$B$4:$O$198,9,FALSE)*性格一覧!$B4)*0.01*(VLOOKUP($C$3,ギルド一覧!$B$4:$R$29,6,FALSE)),(VLOOKUP($B$7,'モンスター　一覧'!$B$4:$O$198,9,FALSE)*性格一覧!$B4)*0.01*(VLOOKUP($C$3,ギルド一覧!$B$4:$R$29,12,FALSE)))</f>
        <v>122.64</v>
      </c>
      <c r="D13" s="193">
        <f>IF($C$4="通常",(VLOOKUP($B$7,'モンスター　一覧'!$B$4:$O$198,10,FALSE)*性格一覧!$C4)*0.01*(VLOOKUP($C$3,ギルド一覧!$B$4:$R$29,7,FALSE)),(VLOOKUP($B$7,'モンスター　一覧'!$B$4:$O$198,10,FALSE)*性格一覧!$C4)*0.01*(VLOOKUP($C$3,ギルド一覧!$B$4:$R$29,13,FALSE)))</f>
        <v>69.350000000000009</v>
      </c>
      <c r="E13" s="193">
        <f>IF($C$4="通常",(VLOOKUP($B$7,'モンスター　一覧'!$B$4:$O$198,11,FALSE)*性格一覧!$D4)*0.01*(VLOOKUP($C$3,ギルド一覧!$B$4:$R$29,8,FALSE)),(VLOOKUP($B$7,'モンスター　一覧'!$B$4:$O$198,11,FALSE)*性格一覧!$D4)*0.01*(VLOOKUP($C$3,ギルド一覧!$B$4:$R$29,14,FALSE)))</f>
        <v>57.96</v>
      </c>
      <c r="F13" s="193">
        <f>IF($C$4="通常",(VLOOKUP($B$7,'モンスター　一覧'!$B$4:$O$198,12,FALSE)*性格一覧!$E4)*0.01*(VLOOKUP($C$3,ギルド一覧!$B$4:$R$29,9,FALSE)),(VLOOKUP($B$7,'モンスター　一覧'!$B$4:$O$198,12,FALSE)*性格一覧!$E4)*0.01*(VLOOKUP($C$3,ギルド一覧!$B$4:$R$29,15,FALSE)))</f>
        <v>62.32</v>
      </c>
      <c r="G13" s="193">
        <f>IF($C$4="通常",(VLOOKUP($B$7,'モンスター　一覧'!$B$4:$O$198,13,FALSE)*性格一覧!$F4)*0.01*(VLOOKUP($C$3,ギルド一覧!$B$4:$R$29,10,FALSE)),(VLOOKUP($B$7,'モンスター　一覧'!$B$4:$O$198,13,FALSE)*性格一覧!$F4)*0.01*(VLOOKUP($C$3,ギルド一覧!$B$4:$R$29,16,FALSE)))</f>
        <v>84.8</v>
      </c>
      <c r="H13" s="194">
        <f>IF($C$4="通常",(VLOOKUP($B$7,'モンスター　一覧'!$B$4:$O$198,14,FALSE)*性格一覧!$G4)*0.01*(VLOOKUP($C$3,ギルド一覧!$B$4:$R$29,11,FALSE)),(VLOOKUP($B$7,'モンスター　一覧'!$B$4:$O$198,14,FALSE)*性格一覧!$G4)*0.01*(VLOOKUP($C$3,ギルド一覧!$B$4:$R$29,17,FALSE)))</f>
        <v>212.52</v>
      </c>
      <c r="I13" s="205">
        <f t="shared" ref="I13:I56" si="0">SUM(C13:H13)</f>
        <v>609.59</v>
      </c>
      <c r="J13" s="56"/>
      <c r="K13" s="64" t="s">
        <v>12</v>
      </c>
      <c r="L13" s="193">
        <f>IF($L$4="通常",(VLOOKUP($K$7,'モンスター　一覧'!$B$4:$O$198,9,FALSE)*性格一覧!$B4)*0.01*(VLOOKUP($L$3,ギルド一覧!$B$4:$R$29,6,FALSE)),(VLOOKUP($K$7,'モンスター　一覧'!$B$4:$O$198,9,FALSE)*性格一覧!$B4)*0.01*(VLOOKUP($L$3,ギルド一覧!$B$4:$R$29,12,FALSE)))</f>
        <v>26.04</v>
      </c>
      <c r="M13" s="193">
        <f>IF($L$4="通常",(VLOOKUP($K$7,'モンスター　一覧'!$B$4:$O$198,10,FALSE)*性格一覧!$C4)*0.01*(VLOOKUP($L$3,ギルド一覧!$B$4:$R$29,7,FALSE)),(VLOOKUP($K$7,'モンスター　一覧'!$B$4:$O$198,10,FALSE)*性格一覧!$C4)*0.01*(VLOOKUP($L$3,ギルド一覧!$B$4:$R$29,13,FALSE)))</f>
        <v>37.050000000000004</v>
      </c>
      <c r="N13" s="193">
        <f>IF($L$4="通常",(VLOOKUP($K$7,'モンスター　一覧'!$B$4:$O$198,11,FALSE)*性格一覧!$D4)*0.01*(VLOOKUP($L$3,ギルド一覧!$B$4:$R$29,8,FALSE)),(VLOOKUP($K$7,'モンスター　一覧'!$B$4:$O$198,11,FALSE)*性格一覧!$D4)*0.01*(VLOOKUP($L$3,ギルド一覧!$B$4:$R$29,14,FALSE)))</f>
        <v>39.312000000000005</v>
      </c>
      <c r="O13" s="193">
        <f>IF($L$4="通常",(VLOOKUP($K$7,'モンスター　一覧'!$B$4:$O$198,12,FALSE)*性格一覧!$E4)*0.01*(VLOOKUP($L$3,ギルド一覧!$B$4:$R$29,9,FALSE)),(VLOOKUP($K$7,'モンスター　一覧'!$B$4:$O$198,12,FALSE)*性格一覧!$E4)*0.01*(VLOOKUP($L$3,ギルド一覧!$B$4:$R$29,15,FALSE)))</f>
        <v>341.31600000000003</v>
      </c>
      <c r="P13" s="193">
        <f>IF($L$4="通常",(VLOOKUP($K$7,'モンスター　一覧'!$B$4:$O$198,13,FALSE)*性格一覧!$F4)*0.01*(VLOOKUP($L$3,ギルド一覧!$B$4:$R$29,10,FALSE)),(VLOOKUP($K$7,'モンスター　一覧'!$B$4:$O$198,13,FALSE)*性格一覧!$F4)*0.01*(VLOOKUP($L$3,ギルド一覧!$B$4:$R$29,16,FALSE)))</f>
        <v>373.12</v>
      </c>
      <c r="Q13" s="194">
        <f>IF($L$4="通常",(VLOOKUP($K$7,'モンスター　一覧'!$B$4:$O$198,14,FALSE)*性格一覧!$G4)*0.01*(VLOOKUP($L$3,ギルド一覧!$B$4:$R$29,11,FALSE)),(VLOOKUP($K$7,'モンスター　一覧'!$B$4:$O$198,14,FALSE)*性格一覧!$G4)*0.01*(VLOOKUP($L$3,ギルド一覧!$B$4:$R$29,17,FALSE)))</f>
        <v>62.1</v>
      </c>
      <c r="R13" s="205">
        <f t="shared" ref="R13:R56" si="1">SUM(L13:Q13)</f>
        <v>878.9380000000001</v>
      </c>
      <c r="T13" s="64" t="s">
        <v>12</v>
      </c>
      <c r="U13" s="193">
        <f>IF($U$4="通常",(VLOOKUP($T$7,'モンスター　一覧'!$B$4:$O$198,9,FALSE)*性格一覧!$B4)*0.01*(VLOOKUP($U$3,ギルド一覧!$B$4:$R$29,6,FALSE)),(VLOOKUP($T$7,'モンスター　一覧'!$B$4:$O$198,9,FALSE)*性格一覧!$B4)*0.01*(VLOOKUP($U$3,ギルド一覧!$B$4:$R$29,12,FALSE)))</f>
        <v>26.04</v>
      </c>
      <c r="V13" s="193">
        <f>IF($U$4="通常",(VLOOKUP($T$7,'モンスター　一覧'!$B$4:$O$198,10,FALSE)*性格一覧!$C4)*0.01*(VLOOKUP($U$3,ギルド一覧!$B$4:$R$29,7,FALSE)),(VLOOKUP($T$7,'モンスター　一覧'!$B$4:$O$198,10,FALSE)*性格一覧!$C4)*0.01*(VLOOKUP($U$3,ギルド一覧!$B$4:$R$29,13,FALSE)))</f>
        <v>37.050000000000004</v>
      </c>
      <c r="W13" s="193">
        <f>IF($U$4="通常",(VLOOKUP($T$7,'モンスター　一覧'!$B$4:$O$198,11,FALSE)*性格一覧!$D4)*0.01*(VLOOKUP($U$3,ギルド一覧!$B$4:$R$29,8,FALSE)),(VLOOKUP($T$7,'モンスター　一覧'!$B$4:$O$198,11,FALSE)*性格一覧!$D4)*0.01*(VLOOKUP($U$3,ギルド一覧!$B$4:$R$29,14,FALSE)))</f>
        <v>30.240000000000002</v>
      </c>
      <c r="X13" s="193">
        <f>IF($U$4="通常",(VLOOKUP($T$7,'モンスター　一覧'!$B$4:$O$198,12,FALSE)*性格一覧!$E4)*0.01*(VLOOKUP($U$3,ギルド一覧!$B$4:$R$29,9,FALSE)),(VLOOKUP($T$7,'モンスター　一覧'!$B$4:$O$198,12,FALSE)*性格一覧!$E4)*0.01*(VLOOKUP($U$3,ギルド一覧!$B$4:$R$29,15,FALSE)))</f>
        <v>379.24</v>
      </c>
      <c r="Y13" s="193">
        <f>IF($U$4="通常",(VLOOKUP($T$7,'モンスター　一覧'!$B$4:$O$198,13,FALSE)*性格一覧!$F4)*0.01*(VLOOKUP($U$3,ギルド一覧!$B$4:$R$29,10,FALSE)),(VLOOKUP($T$7,'モンスター　一覧'!$B$4:$O$198,13,FALSE)*性格一覧!$F4)*0.01*(VLOOKUP($U$3,ギルド一覧!$B$4:$R$29,16,FALSE)))</f>
        <v>373.12</v>
      </c>
      <c r="Z13" s="194">
        <f>IF($U$4="通常",(VLOOKUP($T$7,'モンスター　一覧'!$B$4:$O$198,14,FALSE)*性格一覧!$G4)*0.01*(VLOOKUP($U$3,ギルド一覧!$B$4:$R$29,11,FALSE)),(VLOOKUP($T$7,'モンスター　一覧'!$B$4:$O$198,14,FALSE)*性格一覧!$G4)*0.01*(VLOOKUP($U$3,ギルド一覧!$B$4:$R$29,17,FALSE)))</f>
        <v>62.1</v>
      </c>
      <c r="AA13" s="205">
        <f t="shared" ref="AA13:AA56" si="2">SUM(U13:Z13)</f>
        <v>907.79000000000008</v>
      </c>
      <c r="AC13" s="152" t="s">
        <v>235</v>
      </c>
      <c r="AD13" s="219" t="s">
        <v>858</v>
      </c>
    </row>
    <row r="14" spans="1:30" s="55" customFormat="1" ht="12">
      <c r="B14" s="64" t="s">
        <v>15</v>
      </c>
      <c r="C14" s="193">
        <f>IF($C$4="通常",(VLOOKUP($B$7,'モンスター　一覧'!$B$4:$O$198,9,FALSE)*性格一覧!$B5)*0.01*(VLOOKUP($C$3,ギルド一覧!$B$4:$R$29,6,FALSE)),(VLOOKUP($B$7,'モンスター　一覧'!$B$4:$O$198,9,FALSE)*性格一覧!$B5)*0.01*(VLOOKUP($C$3,ギルド一覧!$B$4:$R$29,12,FALSE)))</f>
        <v>112.42</v>
      </c>
      <c r="D14" s="193">
        <f>IF($C$4="通常",(VLOOKUP($B$7,'モンスター　一覧'!$B$4:$O$198,10,FALSE)*性格一覧!$C5)*0.01*(VLOOKUP($C$3,ギルド一覧!$B$4:$R$29,7,FALSE)),(VLOOKUP($B$7,'モンスター　一覧'!$B$4:$O$198,10,FALSE)*性格一覧!$C5)*0.01*(VLOOKUP($C$3,ギルド一覧!$B$4:$R$29,13,FALSE)))</f>
        <v>56.21</v>
      </c>
      <c r="E14" s="193">
        <f>IF($C$4="通常",(VLOOKUP($B$7,'モンスター　一覧'!$B$4:$O$198,11,FALSE)*性格一覧!$D5)*0.01*(VLOOKUP($C$3,ギルド一覧!$B$4:$R$29,8,FALSE)),(VLOOKUP($B$7,'モンスター　一覧'!$B$4:$O$198,11,FALSE)*性格一覧!$D5)*0.01*(VLOOKUP($C$3,ギルド一覧!$B$4:$R$29,14,FALSE)))</f>
        <v>65.55</v>
      </c>
      <c r="F14" s="193">
        <f>IF($C$4="通常",(VLOOKUP($B$7,'モンスター　一覧'!$B$4:$O$198,12,FALSE)*性格一覧!$E5)*0.01*(VLOOKUP($C$3,ギルド一覧!$B$4:$R$29,9,FALSE)),(VLOOKUP($B$7,'モンスター　一覧'!$B$4:$O$198,12,FALSE)*性格一覧!$E5)*0.01*(VLOOKUP($C$3,ギルド一覧!$B$4:$R$29,15,FALSE)))</f>
        <v>68.88</v>
      </c>
      <c r="G14" s="193">
        <f>IF($C$4="通常",(VLOOKUP($B$7,'モンスター　一覧'!$B$4:$O$198,13,FALSE)*性格一覧!$F5)*0.01*(VLOOKUP($C$3,ギルド一覧!$B$4:$R$29,10,FALSE)),(VLOOKUP($B$7,'モンスター　一覧'!$B$4:$O$198,13,FALSE)*性格一覧!$F5)*0.01*(VLOOKUP($C$3,ギルド一覧!$B$4:$R$29,16,FALSE)))</f>
        <v>91.2</v>
      </c>
      <c r="H14" s="194">
        <f>IF($C$4="通常",(VLOOKUP($B$7,'モンスター　一覧'!$B$4:$O$198,14,FALSE)*性格一覧!$G5)*0.01*(VLOOKUP($C$3,ギルド一覧!$B$4:$R$29,11,FALSE)),(VLOOKUP($B$7,'モンスター　一覧'!$B$4:$O$198,14,FALSE)*性格一覧!$G5)*0.01*(VLOOKUP($C$3,ギルド一覧!$B$4:$R$29,17,FALSE)))</f>
        <v>183.26</v>
      </c>
      <c r="I14" s="205">
        <f t="shared" si="0"/>
        <v>577.52</v>
      </c>
      <c r="J14" s="56"/>
      <c r="K14" s="64" t="s">
        <v>15</v>
      </c>
      <c r="L14" s="193">
        <f>IF($L$4="通常",(VLOOKUP($K$7,'モンスター　一覧'!$B$4:$O$198,9,FALSE)*性格一覧!$B5)*0.01*(VLOOKUP($L$3,ギルド一覧!$B$4:$R$29,6,FALSE)),(VLOOKUP($K$7,'モンスター　一覧'!$B$4:$O$198,9,FALSE)*性格一覧!$B5)*0.01*(VLOOKUP($L$3,ギルド一覧!$B$4:$R$29,12,FALSE)))</f>
        <v>23.87</v>
      </c>
      <c r="M14" s="193">
        <f>IF($L$4="通常",(VLOOKUP($K$7,'モンスター　一覧'!$B$4:$O$198,10,FALSE)*性格一覧!$C5)*0.01*(VLOOKUP($L$3,ギルド一覧!$B$4:$R$29,7,FALSE)),(VLOOKUP($K$7,'モンスター　一覧'!$B$4:$O$198,10,FALSE)*性格一覧!$C5)*0.01*(VLOOKUP($L$3,ギルド一覧!$B$4:$R$29,13,FALSE)))</f>
        <v>30.03</v>
      </c>
      <c r="N14" s="193">
        <f>IF($L$4="通常",(VLOOKUP($K$7,'モンスター　一覧'!$B$4:$O$198,11,FALSE)*性格一覧!$D5)*0.01*(VLOOKUP($L$3,ギルド一覧!$B$4:$R$29,8,FALSE)),(VLOOKUP($K$7,'モンスター　一覧'!$B$4:$O$198,11,FALSE)*性格一覧!$D5)*0.01*(VLOOKUP($L$3,ギルド一覧!$B$4:$R$29,14,FALSE)))</f>
        <v>44.460000000000008</v>
      </c>
      <c r="O14" s="193">
        <f>IF($L$4="通常",(VLOOKUP($K$7,'モンスター　一覧'!$B$4:$O$198,12,FALSE)*性格一覧!$E5)*0.01*(VLOOKUP($L$3,ギルド一覧!$B$4:$R$29,9,FALSE)),(VLOOKUP($K$7,'モンスター　一覧'!$B$4:$O$198,12,FALSE)*性格一覧!$E5)*0.01*(VLOOKUP($L$3,ギルド一覧!$B$4:$R$29,15,FALSE)))</f>
        <v>377.24400000000003</v>
      </c>
      <c r="P14" s="193">
        <f>IF($L$4="通常",(VLOOKUP($K$7,'モンスター　一覧'!$B$4:$O$198,13,FALSE)*性格一覧!$F5)*0.01*(VLOOKUP($L$3,ギルド一覧!$B$4:$R$29,10,FALSE)),(VLOOKUP($K$7,'モンスター　一覧'!$B$4:$O$198,13,FALSE)*性格一覧!$F5)*0.01*(VLOOKUP($L$3,ギルド一覧!$B$4:$R$29,16,FALSE)))</f>
        <v>401.28000000000003</v>
      </c>
      <c r="Q14" s="194">
        <f>IF($L$4="通常",(VLOOKUP($K$7,'モンスター　一覧'!$B$4:$O$198,14,FALSE)*性格一覧!$G5)*0.01*(VLOOKUP($L$3,ギルド一覧!$B$4:$R$29,11,FALSE)),(VLOOKUP($K$7,'モンスター　一覧'!$B$4:$O$198,14,FALSE)*性格一覧!$G5)*0.01*(VLOOKUP($L$3,ギルド一覧!$B$4:$R$29,17,FALSE)))</f>
        <v>53.550000000000004</v>
      </c>
      <c r="R14" s="205">
        <f t="shared" si="1"/>
        <v>930.43399999999997</v>
      </c>
      <c r="T14" s="64" t="s">
        <v>15</v>
      </c>
      <c r="U14" s="193">
        <f>IF($U$4="通常",(VLOOKUP($T$7,'モンスター　一覧'!$B$4:$O$198,9,FALSE)*性格一覧!$B5)*0.01*(VLOOKUP($U$3,ギルド一覧!$B$4:$R$29,6,FALSE)),(VLOOKUP($T$7,'モンスター　一覧'!$B$4:$O$198,9,FALSE)*性格一覧!$B5)*0.01*(VLOOKUP($U$3,ギルド一覧!$B$4:$R$29,12,FALSE)))</f>
        <v>23.87</v>
      </c>
      <c r="V14" s="193">
        <f>IF($U$4="通常",(VLOOKUP($T$7,'モンスター　一覧'!$B$4:$O$198,10,FALSE)*性格一覧!$C5)*0.01*(VLOOKUP($U$3,ギルド一覧!$B$4:$R$29,7,FALSE)),(VLOOKUP($T$7,'モンスター　一覧'!$B$4:$O$198,10,FALSE)*性格一覧!$C5)*0.01*(VLOOKUP($U$3,ギルド一覧!$B$4:$R$29,13,FALSE)))</f>
        <v>30.03</v>
      </c>
      <c r="W14" s="193">
        <f>IF($U$4="通常",(VLOOKUP($T$7,'モンスター　一覧'!$B$4:$O$198,11,FALSE)*性格一覧!$D5)*0.01*(VLOOKUP($U$3,ギルド一覧!$B$4:$R$29,8,FALSE)),(VLOOKUP($T$7,'モンスター　一覧'!$B$4:$O$198,11,FALSE)*性格一覧!$D5)*0.01*(VLOOKUP($U$3,ギルド一覧!$B$4:$R$29,14,FALSE)))</f>
        <v>34.200000000000003</v>
      </c>
      <c r="X14" s="193">
        <f>IF($U$4="通常",(VLOOKUP($T$7,'モンスター　一覧'!$B$4:$O$198,12,FALSE)*性格一覧!$E5)*0.01*(VLOOKUP($U$3,ギルド一覧!$B$4:$R$29,9,FALSE)),(VLOOKUP($T$7,'モンスター　一覧'!$B$4:$O$198,12,FALSE)*性格一覧!$E5)*0.01*(VLOOKUP($U$3,ギルド一覧!$B$4:$R$29,15,FALSE)))</f>
        <v>419.16</v>
      </c>
      <c r="Y14" s="193">
        <f>IF($U$4="通常",(VLOOKUP($T$7,'モンスター　一覧'!$B$4:$O$198,13,FALSE)*性格一覧!$F5)*0.01*(VLOOKUP($U$3,ギルド一覧!$B$4:$R$29,10,FALSE)),(VLOOKUP($T$7,'モンスター　一覧'!$B$4:$O$198,13,FALSE)*性格一覧!$F5)*0.01*(VLOOKUP($U$3,ギルド一覧!$B$4:$R$29,16,FALSE)))</f>
        <v>401.28000000000003</v>
      </c>
      <c r="Z14" s="194">
        <f>IF($U$4="通常",(VLOOKUP($T$7,'モンスター　一覧'!$B$4:$O$198,14,FALSE)*性格一覧!$G5)*0.01*(VLOOKUP($U$3,ギルド一覧!$B$4:$R$29,11,FALSE)),(VLOOKUP($T$7,'モンスター　一覧'!$B$4:$O$198,14,FALSE)*性格一覧!$G5)*0.01*(VLOOKUP($U$3,ギルド一覧!$B$4:$R$29,17,FALSE)))</f>
        <v>53.550000000000004</v>
      </c>
      <c r="AA14" s="205">
        <f t="shared" si="2"/>
        <v>962.09</v>
      </c>
      <c r="AC14" s="152" t="s">
        <v>164</v>
      </c>
      <c r="AD14" s="219" t="s">
        <v>839</v>
      </c>
    </row>
    <row r="15" spans="1:30" s="55" customFormat="1" ht="12">
      <c r="B15" s="64" t="s">
        <v>316</v>
      </c>
      <c r="C15" s="193">
        <f>IF($C$4="通常",(VLOOKUP($B$7,'モンスター　一覧'!$B$4:$O$198,9,FALSE)*性格一覧!$B6)*0.01*(VLOOKUP($C$3,ギルド一覧!$B$4:$R$29,6,FALSE)),(VLOOKUP($B$7,'モンスター　一覧'!$B$4:$O$198,9,FALSE)*性格一覧!$B6)*0.01*(VLOOKUP($C$3,ギルド一覧!$B$4:$R$29,12,FALSE)))</f>
        <v>122.64</v>
      </c>
      <c r="D15" s="193">
        <f>IF($C$4="通常",(VLOOKUP($B$7,'モンスター　一覧'!$B$4:$O$198,10,FALSE)*性格一覧!$C6)*0.01*(VLOOKUP($C$3,ギルド一覧!$B$4:$R$29,7,FALSE)),(VLOOKUP($B$7,'モンスター　一覧'!$B$4:$O$198,10,FALSE)*性格一覧!$C6)*0.01*(VLOOKUP($C$3,ギルド一覧!$B$4:$R$29,13,FALSE)))</f>
        <v>87.600000000000009</v>
      </c>
      <c r="E15" s="193">
        <f>IF($C$4="通常",(VLOOKUP($B$7,'モンスター　一覧'!$B$4:$O$198,11,FALSE)*性格一覧!$D6)*0.01*(VLOOKUP($C$3,ギルド一覧!$B$4:$R$29,8,FALSE)),(VLOOKUP($B$7,'モンスター　一覧'!$B$4:$O$198,11,FALSE)*性格一覧!$D6)*0.01*(VLOOKUP($C$3,ギルド一覧!$B$4:$R$29,14,FALSE)))</f>
        <v>63.480000000000004</v>
      </c>
      <c r="F15" s="193">
        <f>IF($C$4="通常",(VLOOKUP($B$7,'モンスター　一覧'!$B$4:$O$198,12,FALSE)*性格一覧!$E6)*0.01*(VLOOKUP($C$3,ギルド一覧!$B$4:$R$29,9,FALSE)),(VLOOKUP($B$7,'モンスター　一覧'!$B$4:$O$198,12,FALSE)*性格一覧!$E6)*0.01*(VLOOKUP($C$3,ギルド一覧!$B$4:$R$29,15,FALSE)))</f>
        <v>91.84</v>
      </c>
      <c r="G15" s="193">
        <f>IF($C$4="通常",(VLOOKUP($B$7,'モンスター　一覧'!$B$4:$O$198,13,FALSE)*性格一覧!$F6)*0.01*(VLOOKUP($C$3,ギルド一覧!$B$4:$R$29,10,FALSE)),(VLOOKUP($B$7,'モンスター　一覧'!$B$4:$O$198,13,FALSE)*性格一覧!$F6)*0.01*(VLOOKUP($C$3,ギルド一覧!$B$4:$R$29,16,FALSE)))</f>
        <v>47.2</v>
      </c>
      <c r="H15" s="194">
        <f>IF($C$4="通常",(VLOOKUP($B$7,'モンスター　一覧'!$B$4:$O$198,14,FALSE)*性格一覧!$G6)*0.01*(VLOOKUP($C$3,ギルド一覧!$B$4:$R$29,11,FALSE)),(VLOOKUP($B$7,'モンスター　一覧'!$B$4:$O$198,14,FALSE)*性格一覧!$G6)*0.01*(VLOOKUP($C$3,ギルド一覧!$B$4:$R$29,17,FALSE)))</f>
        <v>204.82</v>
      </c>
      <c r="I15" s="205">
        <f t="shared" si="0"/>
        <v>617.58000000000004</v>
      </c>
      <c r="J15" s="56"/>
      <c r="K15" s="64" t="s">
        <v>316</v>
      </c>
      <c r="L15" s="193">
        <f>IF($L$4="通常",(VLOOKUP($K$7,'モンスター　一覧'!$B$4:$O$198,9,FALSE)*性格一覧!$B6)*0.01*(VLOOKUP($L$3,ギルド一覧!$B$4:$R$29,6,FALSE)),(VLOOKUP($K$7,'モンスター　一覧'!$B$4:$O$198,9,FALSE)*性格一覧!$B6)*0.01*(VLOOKUP($L$3,ギルド一覧!$B$4:$R$29,12,FALSE)))</f>
        <v>26.04</v>
      </c>
      <c r="M15" s="193">
        <f>IF($L$4="通常",(VLOOKUP($K$7,'モンスター　一覧'!$B$4:$O$198,10,FALSE)*性格一覧!$C6)*0.01*(VLOOKUP($L$3,ギルド一覧!$B$4:$R$29,7,FALSE)),(VLOOKUP($K$7,'モンスター　一覧'!$B$4:$O$198,10,FALSE)*性格一覧!$C6)*0.01*(VLOOKUP($L$3,ギルド一覧!$B$4:$R$29,13,FALSE)))</f>
        <v>46.800000000000004</v>
      </c>
      <c r="N15" s="193">
        <f>IF($L$4="通常",(VLOOKUP($K$7,'モンスター　一覧'!$B$4:$O$198,11,FALSE)*性格一覧!$D6)*0.01*(VLOOKUP($L$3,ギルド一覧!$B$4:$R$29,8,FALSE)),(VLOOKUP($K$7,'モンスター　一覧'!$B$4:$O$198,11,FALSE)*性格一覧!$D6)*0.01*(VLOOKUP($L$3,ギルド一覧!$B$4:$R$29,14,FALSE)))</f>
        <v>43.055999999999997</v>
      </c>
      <c r="O15" s="193">
        <f>IF($L$4="通常",(VLOOKUP($K$7,'モンスター　一覧'!$B$4:$O$198,12,FALSE)*性格一覧!$E6)*0.01*(VLOOKUP($L$3,ギルド一覧!$B$4:$R$29,9,FALSE)),(VLOOKUP($K$7,'モンスター　一覧'!$B$4:$O$198,12,FALSE)*性格一覧!$E6)*0.01*(VLOOKUP($L$3,ギルド一覧!$B$4:$R$29,15,FALSE)))</f>
        <v>502.99200000000002</v>
      </c>
      <c r="P15" s="193">
        <f>IF($L$4="通常",(VLOOKUP($K$7,'モンスター　一覧'!$B$4:$O$198,13,FALSE)*性格一覧!$F6)*0.01*(VLOOKUP($L$3,ギルド一覧!$B$4:$R$29,10,FALSE)),(VLOOKUP($K$7,'モンスター　一覧'!$B$4:$O$198,13,FALSE)*性格一覧!$F6)*0.01*(VLOOKUP($L$3,ギルド一覧!$B$4:$R$29,16,FALSE)))</f>
        <v>207.68</v>
      </c>
      <c r="Q15" s="194">
        <f>IF($L$4="通常",(VLOOKUP($K$7,'モンスター　一覧'!$B$4:$O$198,14,FALSE)*性格一覧!$G6)*0.01*(VLOOKUP($L$3,ギルド一覧!$B$4:$R$29,11,FALSE)),(VLOOKUP($K$7,'モンスター　一覧'!$B$4:$O$198,14,FALSE)*性格一覧!$G6)*0.01*(VLOOKUP($L$3,ギルド一覧!$B$4:$R$29,17,FALSE)))</f>
        <v>59.85</v>
      </c>
      <c r="R15" s="205">
        <f t="shared" si="1"/>
        <v>886.41800000000001</v>
      </c>
      <c r="T15" s="64" t="s">
        <v>316</v>
      </c>
      <c r="U15" s="193">
        <f>IF($U$4="通常",(VLOOKUP($T$7,'モンスター　一覧'!$B$4:$O$198,9,FALSE)*性格一覧!$B6)*0.01*(VLOOKUP($U$3,ギルド一覧!$B$4:$R$29,6,FALSE)),(VLOOKUP($T$7,'モンスター　一覧'!$B$4:$O$198,9,FALSE)*性格一覧!$B6)*0.01*(VLOOKUP($U$3,ギルド一覧!$B$4:$R$29,12,FALSE)))</f>
        <v>26.04</v>
      </c>
      <c r="V15" s="193">
        <f>IF($U$4="通常",(VLOOKUP($T$7,'モンスター　一覧'!$B$4:$O$198,10,FALSE)*性格一覧!$C6)*0.01*(VLOOKUP($U$3,ギルド一覧!$B$4:$R$29,7,FALSE)),(VLOOKUP($T$7,'モンスター　一覧'!$B$4:$O$198,10,FALSE)*性格一覧!$C6)*0.01*(VLOOKUP($U$3,ギルド一覧!$B$4:$R$29,13,FALSE)))</f>
        <v>46.800000000000004</v>
      </c>
      <c r="W15" s="193">
        <f>IF($U$4="通常",(VLOOKUP($T$7,'モンスター　一覧'!$B$4:$O$198,11,FALSE)*性格一覧!$D6)*0.01*(VLOOKUP($U$3,ギルド一覧!$B$4:$R$29,8,FALSE)),(VLOOKUP($T$7,'モンスター　一覧'!$B$4:$O$198,11,FALSE)*性格一覧!$D6)*0.01*(VLOOKUP($U$3,ギルド一覧!$B$4:$R$29,14,FALSE)))</f>
        <v>33.119999999999997</v>
      </c>
      <c r="X15" s="193">
        <f>IF($U$4="通常",(VLOOKUP($T$7,'モンスター　一覧'!$B$4:$O$198,12,FALSE)*性格一覧!$E6)*0.01*(VLOOKUP($U$3,ギルド一覧!$B$4:$R$29,9,FALSE)),(VLOOKUP($T$7,'モンスター　一覧'!$B$4:$O$198,12,FALSE)*性格一覧!$E6)*0.01*(VLOOKUP($U$3,ギルド一覧!$B$4:$R$29,15,FALSE)))</f>
        <v>558.88</v>
      </c>
      <c r="Y15" s="193">
        <f>IF($U$4="通常",(VLOOKUP($T$7,'モンスター　一覧'!$B$4:$O$198,13,FALSE)*性格一覧!$F6)*0.01*(VLOOKUP($U$3,ギルド一覧!$B$4:$R$29,10,FALSE)),(VLOOKUP($T$7,'モンスター　一覧'!$B$4:$O$198,13,FALSE)*性格一覧!$F6)*0.01*(VLOOKUP($U$3,ギルド一覧!$B$4:$R$29,16,FALSE)))</f>
        <v>207.68</v>
      </c>
      <c r="Z15" s="194">
        <f>IF($U$4="通常",(VLOOKUP($T$7,'モンスター　一覧'!$B$4:$O$198,14,FALSE)*性格一覧!$G6)*0.01*(VLOOKUP($U$3,ギルド一覧!$B$4:$R$29,11,FALSE)),(VLOOKUP($T$7,'モンスター　一覧'!$B$4:$O$198,14,FALSE)*性格一覧!$G6)*0.01*(VLOOKUP($U$3,ギルド一覧!$B$4:$R$29,17,FALSE)))</f>
        <v>59.85</v>
      </c>
      <c r="AA15" s="205">
        <f t="shared" si="2"/>
        <v>932.37</v>
      </c>
      <c r="AC15" s="152" t="s">
        <v>201</v>
      </c>
      <c r="AD15" s="219" t="s">
        <v>841</v>
      </c>
    </row>
    <row r="16" spans="1:30" s="55" customFormat="1" ht="12">
      <c r="B16" s="64" t="s">
        <v>317</v>
      </c>
      <c r="C16" s="193">
        <f>IF($C$4="通常",(VLOOKUP($B$7,'モンスター　一覧'!$B$4:$O$198,9,FALSE)*性格一覧!$B7)*0.01*(VLOOKUP($C$3,ギルド一覧!$B$4:$R$29,6,FALSE)),(VLOOKUP($B$7,'モンスター　一覧'!$B$4:$O$198,9,FALSE)*性格一覧!$B7)*0.01*(VLOOKUP($C$3,ギルド一覧!$B$4:$R$29,12,FALSE)))</f>
        <v>178.12</v>
      </c>
      <c r="D16" s="193">
        <f>IF($C$4="通常",(VLOOKUP($B$7,'モンスター　一覧'!$B$4:$O$198,10,FALSE)*性格一覧!$C7)*0.01*(VLOOKUP($C$3,ギルド一覧!$B$4:$R$29,7,FALSE)),(VLOOKUP($B$7,'モンスター　一覧'!$B$4:$O$198,10,FALSE)*性格一覧!$C7)*0.01*(VLOOKUP($C$3,ギルド一覧!$B$4:$R$29,13,FALSE)))</f>
        <v>43.800000000000004</v>
      </c>
      <c r="E16" s="193">
        <f>IF($C$4="通常",(VLOOKUP($B$7,'モンスター　一覧'!$B$4:$O$198,11,FALSE)*性格一覧!$D7)*0.01*(VLOOKUP($C$3,ギルド一覧!$B$4:$R$29,8,FALSE)),(VLOOKUP($B$7,'モンスター　一覧'!$B$4:$O$198,11,FALSE)*性格一覧!$D7)*0.01*(VLOOKUP($C$3,ギルド一覧!$B$4:$R$29,14,FALSE)))</f>
        <v>69</v>
      </c>
      <c r="F16" s="193">
        <f>IF($C$4="通常",(VLOOKUP($B$7,'モンスター　一覧'!$B$4:$O$198,12,FALSE)*性格一覧!$E7)*0.01*(VLOOKUP($C$3,ギルド一覧!$B$4:$R$29,9,FALSE)),(VLOOKUP($B$7,'モンスター　一覧'!$B$4:$O$198,12,FALSE)*性格一覧!$E7)*0.01*(VLOOKUP($C$3,ギルド一覧!$B$4:$R$29,15,FALSE)))</f>
        <v>102.5</v>
      </c>
      <c r="G16" s="193">
        <f>IF($C$4="通常",(VLOOKUP($B$7,'モンスター　一覧'!$B$4:$O$198,13,FALSE)*性格一覧!$F7)*0.01*(VLOOKUP($C$3,ギルド一覧!$B$4:$R$29,10,FALSE)),(VLOOKUP($B$7,'モンスター　一覧'!$B$4:$O$198,13,FALSE)*性格一覧!$F7)*0.01*(VLOOKUP($C$3,ギルド一覧!$B$4:$R$29,16,FALSE)))</f>
        <v>100</v>
      </c>
      <c r="H16" s="194">
        <f>IF($C$4="通常",(VLOOKUP($B$7,'モンスター　一覧'!$B$4:$O$198,14,FALSE)*性格一覧!$G7)*0.01*(VLOOKUP($C$3,ギルド一覧!$B$4:$R$29,11,FALSE)),(VLOOKUP($B$7,'モンスター　一覧'!$B$4:$O$198,14,FALSE)*性格一覧!$G7)*0.01*(VLOOKUP($C$3,ギルド一覧!$B$4:$R$29,17,FALSE)))</f>
        <v>127.82000000000001</v>
      </c>
      <c r="I16" s="205">
        <f t="shared" si="0"/>
        <v>621.24</v>
      </c>
      <c r="J16" s="56"/>
      <c r="K16" s="64" t="s">
        <v>317</v>
      </c>
      <c r="L16" s="193">
        <f>IF($L$4="通常",(VLOOKUP($K$7,'モンスター　一覧'!$B$4:$O$198,9,FALSE)*性格一覧!$B7)*0.01*(VLOOKUP($L$3,ギルド一覧!$B$4:$R$29,6,FALSE)),(VLOOKUP($K$7,'モンスター　一覧'!$B$4:$O$198,9,FALSE)*性格一覧!$B7)*0.01*(VLOOKUP($L$3,ギルド一覧!$B$4:$R$29,12,FALSE)))</f>
        <v>37.82</v>
      </c>
      <c r="M16" s="193">
        <f>IF($L$4="通常",(VLOOKUP($K$7,'モンスター　一覧'!$B$4:$O$198,10,FALSE)*性格一覧!$C7)*0.01*(VLOOKUP($L$3,ギルド一覧!$B$4:$R$29,7,FALSE)),(VLOOKUP($K$7,'モンスター　一覧'!$B$4:$O$198,10,FALSE)*性格一覧!$C7)*0.01*(VLOOKUP($L$3,ギルド一覧!$B$4:$R$29,13,FALSE)))</f>
        <v>23.400000000000002</v>
      </c>
      <c r="N16" s="193">
        <f>IF($L$4="通常",(VLOOKUP($K$7,'モンスター　一覧'!$B$4:$O$198,11,FALSE)*性格一覧!$D7)*0.01*(VLOOKUP($L$3,ギルド一覧!$B$4:$R$29,8,FALSE)),(VLOOKUP($K$7,'モンスター　一覧'!$B$4:$O$198,11,FALSE)*性格一覧!$D7)*0.01*(VLOOKUP($L$3,ギルド一覧!$B$4:$R$29,14,FALSE)))</f>
        <v>46.800000000000004</v>
      </c>
      <c r="O16" s="193">
        <f>IF($L$4="通常",(VLOOKUP($K$7,'モンスター　一覧'!$B$4:$O$198,12,FALSE)*性格一覧!$E7)*0.01*(VLOOKUP($L$3,ギルド一覧!$B$4:$R$29,9,FALSE)),(VLOOKUP($K$7,'モンスター　一覧'!$B$4:$O$198,12,FALSE)*性格一覧!$E7)*0.01*(VLOOKUP($L$3,ギルド一覧!$B$4:$R$29,15,FALSE)))</f>
        <v>561.375</v>
      </c>
      <c r="P16" s="193">
        <f>IF($L$4="通常",(VLOOKUP($K$7,'モンスター　一覧'!$B$4:$O$198,13,FALSE)*性格一覧!$F7)*0.01*(VLOOKUP($L$3,ギルド一覧!$B$4:$R$29,10,FALSE)),(VLOOKUP($K$7,'モンスター　一覧'!$B$4:$O$198,13,FALSE)*性格一覧!$F7)*0.01*(VLOOKUP($L$3,ギルド一覧!$B$4:$R$29,16,FALSE)))</f>
        <v>440</v>
      </c>
      <c r="Q16" s="194">
        <f>IF($L$4="通常",(VLOOKUP($K$7,'モンスター　一覧'!$B$4:$O$198,14,FALSE)*性格一覧!$G7)*0.01*(VLOOKUP($L$3,ギルド一覧!$B$4:$R$29,11,FALSE)),(VLOOKUP($K$7,'モンスター　一覧'!$B$4:$O$198,14,FALSE)*性格一覧!$G7)*0.01*(VLOOKUP($L$3,ギルド一覧!$B$4:$R$29,17,FALSE)))</f>
        <v>37.35</v>
      </c>
      <c r="R16" s="205">
        <f t="shared" si="1"/>
        <v>1146.7449999999999</v>
      </c>
      <c r="T16" s="64" t="s">
        <v>317</v>
      </c>
      <c r="U16" s="193">
        <f>IF($U$4="通常",(VLOOKUP($T$7,'モンスター　一覧'!$B$4:$O$198,9,FALSE)*性格一覧!$B7)*0.01*(VLOOKUP($U$3,ギルド一覧!$B$4:$R$29,6,FALSE)),(VLOOKUP($T$7,'モンスター　一覧'!$B$4:$O$198,9,FALSE)*性格一覧!$B7)*0.01*(VLOOKUP($U$3,ギルド一覧!$B$4:$R$29,12,FALSE)))</f>
        <v>37.82</v>
      </c>
      <c r="V16" s="193">
        <f>IF($U$4="通常",(VLOOKUP($T$7,'モンスター　一覧'!$B$4:$O$198,10,FALSE)*性格一覧!$C7)*0.01*(VLOOKUP($U$3,ギルド一覧!$B$4:$R$29,7,FALSE)),(VLOOKUP($T$7,'モンスター　一覧'!$B$4:$O$198,10,FALSE)*性格一覧!$C7)*0.01*(VLOOKUP($U$3,ギルド一覧!$B$4:$R$29,13,FALSE)))</f>
        <v>23.400000000000002</v>
      </c>
      <c r="W16" s="193">
        <f>IF($U$4="通常",(VLOOKUP($T$7,'モンスター　一覧'!$B$4:$O$198,11,FALSE)*性格一覧!$D7)*0.01*(VLOOKUP($U$3,ギルド一覧!$B$4:$R$29,8,FALSE)),(VLOOKUP($T$7,'モンスター　一覧'!$B$4:$O$198,11,FALSE)*性格一覧!$D7)*0.01*(VLOOKUP($U$3,ギルド一覧!$B$4:$R$29,14,FALSE)))</f>
        <v>36</v>
      </c>
      <c r="X16" s="193">
        <f>IF($U$4="通常",(VLOOKUP($T$7,'モンスター　一覧'!$B$4:$O$198,12,FALSE)*性格一覧!$E7)*0.01*(VLOOKUP($U$3,ギルド一覧!$B$4:$R$29,9,FALSE)),(VLOOKUP($T$7,'モンスター　一覧'!$B$4:$O$198,12,FALSE)*性格一覧!$E7)*0.01*(VLOOKUP($U$3,ギルド一覧!$B$4:$R$29,15,FALSE)))</f>
        <v>623.75</v>
      </c>
      <c r="Y16" s="193">
        <f>IF($U$4="通常",(VLOOKUP($T$7,'モンスター　一覧'!$B$4:$O$198,13,FALSE)*性格一覧!$F7)*0.01*(VLOOKUP($U$3,ギルド一覧!$B$4:$R$29,10,FALSE)),(VLOOKUP($T$7,'モンスター　一覧'!$B$4:$O$198,13,FALSE)*性格一覧!$F7)*0.01*(VLOOKUP($U$3,ギルド一覧!$B$4:$R$29,16,FALSE)))</f>
        <v>440</v>
      </c>
      <c r="Z16" s="194">
        <f>IF($U$4="通常",(VLOOKUP($T$7,'モンスター　一覧'!$B$4:$O$198,14,FALSE)*性格一覧!$G7)*0.01*(VLOOKUP($U$3,ギルド一覧!$B$4:$R$29,11,FALSE)),(VLOOKUP($T$7,'モンスター　一覧'!$B$4:$O$198,14,FALSE)*性格一覧!$G7)*0.01*(VLOOKUP($U$3,ギルド一覧!$B$4:$R$29,17,FALSE)))</f>
        <v>37.35</v>
      </c>
      <c r="AA16" s="205">
        <f t="shared" si="2"/>
        <v>1198.32</v>
      </c>
      <c r="AC16" s="152" t="s">
        <v>155</v>
      </c>
      <c r="AD16" s="219" t="s">
        <v>842</v>
      </c>
    </row>
    <row r="17" spans="2:30" s="55" customFormat="1" ht="12">
      <c r="B17" s="64" t="s">
        <v>21</v>
      </c>
      <c r="C17" s="193">
        <f>IF($C$4="通常",(VLOOKUP($B$7,'モンスター　一覧'!$B$4:$O$198,9,FALSE)*性格一覧!$B8)*0.01*(VLOOKUP($C$3,ギルド一覧!$B$4:$R$29,6,FALSE)),(VLOOKUP($B$7,'モンスター　一覧'!$B$4:$O$198,9,FALSE)*性格一覧!$B8)*0.01*(VLOOKUP($C$3,ギルド一覧!$B$4:$R$29,12,FALSE)))</f>
        <v>128.47999999999999</v>
      </c>
      <c r="D17" s="193">
        <f>IF($C$4="通常",(VLOOKUP($B$7,'モンスター　一覧'!$B$4:$O$198,10,FALSE)*性格一覧!$C8)*0.01*(VLOOKUP($C$3,ギルド一覧!$B$4:$R$29,7,FALSE)),(VLOOKUP($B$7,'モンスター　一覧'!$B$4:$O$198,10,FALSE)*性格一覧!$C8)*0.01*(VLOOKUP($C$3,ギルド一覧!$B$4:$R$29,13,FALSE)))</f>
        <v>73</v>
      </c>
      <c r="E17" s="193">
        <f>IF($C$4="通常",(VLOOKUP($B$7,'モンスター　一覧'!$B$4:$O$198,11,FALSE)*性格一覧!$D8)*0.01*(VLOOKUP($C$3,ギルド一覧!$B$4:$R$29,8,FALSE)),(VLOOKUP($B$7,'モンスター　一覧'!$B$4:$O$198,11,FALSE)*性格一覧!$D8)*0.01*(VLOOKUP($C$3,ギルド一覧!$B$4:$R$29,14,FALSE)))</f>
        <v>74.52</v>
      </c>
      <c r="F17" s="193">
        <f>IF($C$4="通常",(VLOOKUP($B$7,'モンスター　一覧'!$B$4:$O$198,12,FALSE)*性格一覧!$E8)*0.01*(VLOOKUP($C$3,ギルド一覧!$B$4:$R$29,9,FALSE)),(VLOOKUP($B$7,'モンスター　一覧'!$B$4:$O$198,12,FALSE)*性格一覧!$E8)*0.01*(VLOOKUP($C$3,ギルド一覧!$B$4:$R$29,15,FALSE)))</f>
        <v>67.239999999999995</v>
      </c>
      <c r="G17" s="193">
        <f>IF($C$4="通常",(VLOOKUP($B$7,'モンスター　一覧'!$B$4:$O$198,13,FALSE)*性格一覧!$F8)*0.01*(VLOOKUP($C$3,ギルド一覧!$B$4:$R$29,10,FALSE)),(VLOOKUP($B$7,'モンスター　一覧'!$B$4:$O$198,13,FALSE)*性格一覧!$F8)*0.01*(VLOOKUP($C$3,ギルド一覧!$B$4:$R$29,16,FALSE)))</f>
        <v>94.4</v>
      </c>
      <c r="H17" s="194">
        <f>IF($C$4="通常",(VLOOKUP($B$7,'モンスター　一覧'!$B$4:$O$198,14,FALSE)*性格一覧!$G8)*0.01*(VLOOKUP($C$3,ギルド一覧!$B$4:$R$29,11,FALSE)),(VLOOKUP($B$7,'モンスター　一覧'!$B$4:$O$198,14,FALSE)*性格一覧!$G8)*0.01*(VLOOKUP($C$3,ギルド一覧!$B$4:$R$29,17,FALSE)))</f>
        <v>172.48</v>
      </c>
      <c r="I17" s="205">
        <f t="shared" si="0"/>
        <v>610.12</v>
      </c>
      <c r="J17" s="56"/>
      <c r="K17" s="64" t="s">
        <v>21</v>
      </c>
      <c r="L17" s="193">
        <f>IF($L$4="通常",(VLOOKUP($K$7,'モンスター　一覧'!$B$4:$O$198,9,FALSE)*性格一覧!$B8)*0.01*(VLOOKUP($L$3,ギルド一覧!$B$4:$R$29,6,FALSE)),(VLOOKUP($K$7,'モンスター　一覧'!$B$4:$O$198,9,FALSE)*性格一覧!$B8)*0.01*(VLOOKUP($L$3,ギルド一覧!$B$4:$R$29,12,FALSE)))</f>
        <v>27.28</v>
      </c>
      <c r="M17" s="193">
        <f>IF($L$4="通常",(VLOOKUP($K$7,'モンスター　一覧'!$B$4:$O$198,10,FALSE)*性格一覧!$C8)*0.01*(VLOOKUP($L$3,ギルド一覧!$B$4:$R$29,7,FALSE)),(VLOOKUP($K$7,'モンスター　一覧'!$B$4:$O$198,10,FALSE)*性格一覧!$C8)*0.01*(VLOOKUP($L$3,ギルド一覧!$B$4:$R$29,13,FALSE)))</f>
        <v>39</v>
      </c>
      <c r="N17" s="193">
        <f>IF($L$4="通常",(VLOOKUP($K$7,'モンスター　一覧'!$B$4:$O$198,11,FALSE)*性格一覧!$D8)*0.01*(VLOOKUP($L$3,ギルド一覧!$B$4:$R$29,8,FALSE)),(VLOOKUP($K$7,'モンスター　一覧'!$B$4:$O$198,11,FALSE)*性格一覧!$D8)*0.01*(VLOOKUP($L$3,ギルド一覧!$B$4:$R$29,14,FALSE)))</f>
        <v>50.544000000000004</v>
      </c>
      <c r="O17" s="193">
        <f>IF($L$4="通常",(VLOOKUP($K$7,'モンスター　一覧'!$B$4:$O$198,12,FALSE)*性格一覧!$E8)*0.01*(VLOOKUP($L$3,ギルド一覧!$B$4:$R$29,9,FALSE)),(VLOOKUP($K$7,'モンスター　一覧'!$B$4:$O$198,12,FALSE)*性格一覧!$E8)*0.01*(VLOOKUP($L$3,ギルド一覧!$B$4:$R$29,15,FALSE)))</f>
        <v>368.262</v>
      </c>
      <c r="P17" s="193">
        <f>IF($L$4="通常",(VLOOKUP($K$7,'モンスター　一覧'!$B$4:$O$198,13,FALSE)*性格一覧!$F8)*0.01*(VLOOKUP($L$3,ギルド一覧!$B$4:$R$29,10,FALSE)),(VLOOKUP($K$7,'モンスター　一覧'!$B$4:$O$198,13,FALSE)*性格一覧!$F8)*0.01*(VLOOKUP($L$3,ギルド一覧!$B$4:$R$29,16,FALSE)))</f>
        <v>415.36</v>
      </c>
      <c r="Q17" s="194">
        <f>IF($L$4="通常",(VLOOKUP($K$7,'モンスター　一覧'!$B$4:$O$198,14,FALSE)*性格一覧!$G8)*0.01*(VLOOKUP($L$3,ギルド一覧!$B$4:$R$29,11,FALSE)),(VLOOKUP($K$7,'モンスター　一覧'!$B$4:$O$198,14,FALSE)*性格一覧!$G8)*0.01*(VLOOKUP($L$3,ギルド一覧!$B$4:$R$29,17,FALSE)))</f>
        <v>50.4</v>
      </c>
      <c r="R17" s="205">
        <f t="shared" si="1"/>
        <v>950.846</v>
      </c>
      <c r="T17" s="64" t="s">
        <v>21</v>
      </c>
      <c r="U17" s="193">
        <f>IF($U$4="通常",(VLOOKUP($T$7,'モンスター　一覧'!$B$4:$O$198,9,FALSE)*性格一覧!$B8)*0.01*(VLOOKUP($U$3,ギルド一覧!$B$4:$R$29,6,FALSE)),(VLOOKUP($T$7,'モンスター　一覧'!$B$4:$O$198,9,FALSE)*性格一覧!$B8)*0.01*(VLOOKUP($U$3,ギルド一覧!$B$4:$R$29,12,FALSE)))</f>
        <v>27.28</v>
      </c>
      <c r="V17" s="193">
        <f>IF($U$4="通常",(VLOOKUP($T$7,'モンスター　一覧'!$B$4:$O$198,10,FALSE)*性格一覧!$C8)*0.01*(VLOOKUP($U$3,ギルド一覧!$B$4:$R$29,7,FALSE)),(VLOOKUP($T$7,'モンスター　一覧'!$B$4:$O$198,10,FALSE)*性格一覧!$C8)*0.01*(VLOOKUP($U$3,ギルド一覧!$B$4:$R$29,13,FALSE)))</f>
        <v>39</v>
      </c>
      <c r="W17" s="193">
        <f>IF($U$4="通常",(VLOOKUP($T$7,'モンスター　一覧'!$B$4:$O$198,11,FALSE)*性格一覧!$D8)*0.01*(VLOOKUP($U$3,ギルド一覧!$B$4:$R$29,8,FALSE)),(VLOOKUP($T$7,'モンスター　一覧'!$B$4:$O$198,11,FALSE)*性格一覧!$D8)*0.01*(VLOOKUP($U$3,ギルド一覧!$B$4:$R$29,14,FALSE)))</f>
        <v>38.880000000000003</v>
      </c>
      <c r="X17" s="193">
        <f>IF($U$4="通常",(VLOOKUP($T$7,'モンスター　一覧'!$B$4:$O$198,12,FALSE)*性格一覧!$E8)*0.01*(VLOOKUP($U$3,ギルド一覧!$B$4:$R$29,9,FALSE)),(VLOOKUP($T$7,'モンスター　一覧'!$B$4:$O$198,12,FALSE)*性格一覧!$E8)*0.01*(VLOOKUP($U$3,ギルド一覧!$B$4:$R$29,15,FALSE)))</f>
        <v>409.18</v>
      </c>
      <c r="Y17" s="193">
        <f>IF($U$4="通常",(VLOOKUP($T$7,'モンスター　一覧'!$B$4:$O$198,13,FALSE)*性格一覧!$F8)*0.01*(VLOOKUP($U$3,ギルド一覧!$B$4:$R$29,10,FALSE)),(VLOOKUP($T$7,'モンスター　一覧'!$B$4:$O$198,13,FALSE)*性格一覧!$F8)*0.01*(VLOOKUP($U$3,ギルド一覧!$B$4:$R$29,16,FALSE)))</f>
        <v>415.36</v>
      </c>
      <c r="Z17" s="194">
        <f>IF($U$4="通常",(VLOOKUP($T$7,'モンスター　一覧'!$B$4:$O$198,14,FALSE)*性格一覧!$G8)*0.01*(VLOOKUP($U$3,ギルド一覧!$B$4:$R$29,11,FALSE)),(VLOOKUP($T$7,'モンスター　一覧'!$B$4:$O$198,14,FALSE)*性格一覧!$G8)*0.01*(VLOOKUP($U$3,ギルド一覧!$B$4:$R$29,17,FALSE)))</f>
        <v>50.4</v>
      </c>
      <c r="AA17" s="205">
        <f t="shared" si="2"/>
        <v>980.1</v>
      </c>
      <c r="AC17" s="152" t="s">
        <v>133</v>
      </c>
      <c r="AD17" s="219" t="s">
        <v>843</v>
      </c>
    </row>
    <row r="18" spans="2:30" s="55" customFormat="1" ht="12">
      <c r="B18" s="64" t="s">
        <v>22</v>
      </c>
      <c r="C18" s="193">
        <f>IF($C$4="通常",(VLOOKUP($B$7,'モンスター　一覧'!$B$4:$O$198,9,FALSE)*性格一覧!$B9)*0.01*(VLOOKUP($C$3,ギルド一覧!$B$4:$R$29,6,FALSE)),(VLOOKUP($B$7,'モンスター　一覧'!$B$4:$O$198,9,FALSE)*性格一覧!$B9)*0.01*(VLOOKUP($C$3,ギルド一覧!$B$4:$R$29,12,FALSE)))</f>
        <v>178.12</v>
      </c>
      <c r="D18" s="193">
        <f>IF($C$4="通常",(VLOOKUP($B$7,'モンスター　一覧'!$B$4:$O$198,10,FALSE)*性格一覧!$C9)*0.01*(VLOOKUP($C$3,ギルド一覧!$B$4:$R$29,7,FALSE)),(VLOOKUP($B$7,'モンスター　一覧'!$B$4:$O$198,10,FALSE)*性格一覧!$C9)*0.01*(VLOOKUP($C$3,ギルド一覧!$B$4:$R$29,13,FALSE)))</f>
        <v>55.480000000000004</v>
      </c>
      <c r="E18" s="193">
        <f>IF($C$4="通常",(VLOOKUP($B$7,'モンスター　一覧'!$B$4:$O$198,11,FALSE)*性格一覧!$D9)*0.01*(VLOOKUP($C$3,ギルド一覧!$B$4:$R$29,8,FALSE)),(VLOOKUP($B$7,'モンスター　一覧'!$B$4:$O$198,11,FALSE)*性格一覧!$D9)*0.01*(VLOOKUP($C$3,ギルド一覧!$B$4:$R$29,14,FALSE)))</f>
        <v>57.96</v>
      </c>
      <c r="F18" s="193">
        <f>IF($C$4="通常",(VLOOKUP($B$7,'モンスター　一覧'!$B$4:$O$198,12,FALSE)*性格一覧!$E9)*0.01*(VLOOKUP($C$3,ギルド一覧!$B$4:$R$29,9,FALSE)),(VLOOKUP($B$7,'モンスター　一覧'!$B$4:$O$198,12,FALSE)*性格一覧!$E9)*0.01*(VLOOKUP($C$3,ギルド一覧!$B$4:$R$29,15,FALSE)))</f>
        <v>58.22</v>
      </c>
      <c r="G18" s="193">
        <f>IF($C$4="通常",(VLOOKUP($B$7,'モンスター　一覧'!$B$4:$O$198,13,FALSE)*性格一覧!$F9)*0.01*(VLOOKUP($C$3,ギルド一覧!$B$4:$R$29,10,FALSE)),(VLOOKUP($B$7,'モンスター　一覧'!$B$4:$O$198,13,FALSE)*性格一覧!$F9)*0.01*(VLOOKUP($C$3,ギルド一覧!$B$4:$R$29,16,FALSE)))</f>
        <v>100.8</v>
      </c>
      <c r="H18" s="194">
        <f>IF($C$4="通常",(VLOOKUP($B$7,'モンスター　一覧'!$B$4:$O$198,14,FALSE)*性格一覧!$G9)*0.01*(VLOOKUP($C$3,ギルド一覧!$B$4:$R$29,11,FALSE)),(VLOOKUP($B$7,'モンスター　一覧'!$B$4:$O$198,14,FALSE)*性格一覧!$G9)*0.01*(VLOOKUP($C$3,ギルド一覧!$B$4:$R$29,17,FALSE)))</f>
        <v>92.4</v>
      </c>
      <c r="I18" s="205">
        <f t="shared" si="0"/>
        <v>542.98</v>
      </c>
      <c r="J18" s="56"/>
      <c r="K18" s="64" t="s">
        <v>22</v>
      </c>
      <c r="L18" s="193">
        <f>IF($L$4="通常",(VLOOKUP($K$7,'モンスター　一覧'!$B$4:$O$198,9,FALSE)*性格一覧!$B9)*0.01*(VLOOKUP($L$3,ギルド一覧!$B$4:$R$29,6,FALSE)),(VLOOKUP($K$7,'モンスター　一覧'!$B$4:$O$198,9,FALSE)*性格一覧!$B9)*0.01*(VLOOKUP($L$3,ギルド一覧!$B$4:$R$29,12,FALSE)))</f>
        <v>37.82</v>
      </c>
      <c r="M18" s="193">
        <f>IF($L$4="通常",(VLOOKUP($K$7,'モンスター　一覧'!$B$4:$O$198,10,FALSE)*性格一覧!$C9)*0.01*(VLOOKUP($L$3,ギルド一覧!$B$4:$R$29,7,FALSE)),(VLOOKUP($K$7,'モンスター　一覧'!$B$4:$O$198,10,FALSE)*性格一覧!$C9)*0.01*(VLOOKUP($L$3,ギルド一覧!$B$4:$R$29,13,FALSE)))</f>
        <v>29.64</v>
      </c>
      <c r="N18" s="193">
        <f>IF($L$4="通常",(VLOOKUP($K$7,'モンスター　一覧'!$B$4:$O$198,11,FALSE)*性格一覧!$D9)*0.01*(VLOOKUP($L$3,ギルド一覧!$B$4:$R$29,8,FALSE)),(VLOOKUP($K$7,'モンスター　一覧'!$B$4:$O$198,11,FALSE)*性格一覧!$D9)*0.01*(VLOOKUP($L$3,ギルド一覧!$B$4:$R$29,14,FALSE)))</f>
        <v>39.312000000000005</v>
      </c>
      <c r="O18" s="193">
        <f>IF($L$4="通常",(VLOOKUP($K$7,'モンスター　一覧'!$B$4:$O$198,12,FALSE)*性格一覧!$E9)*0.01*(VLOOKUP($L$3,ギルド一覧!$B$4:$R$29,9,FALSE)),(VLOOKUP($K$7,'モンスター　一覧'!$B$4:$O$198,12,FALSE)*性格一覧!$E9)*0.01*(VLOOKUP($L$3,ギルド一覧!$B$4:$R$29,15,FALSE)))</f>
        <v>318.86100000000005</v>
      </c>
      <c r="P18" s="193">
        <f>IF($L$4="通常",(VLOOKUP($K$7,'モンスター　一覧'!$B$4:$O$198,13,FALSE)*性格一覧!$F9)*0.01*(VLOOKUP($L$3,ギルド一覧!$B$4:$R$29,10,FALSE)),(VLOOKUP($K$7,'モンスター　一覧'!$B$4:$O$198,13,FALSE)*性格一覧!$F9)*0.01*(VLOOKUP($L$3,ギルド一覧!$B$4:$R$29,16,FALSE)))</f>
        <v>443.52</v>
      </c>
      <c r="Q18" s="194">
        <f>IF($L$4="通常",(VLOOKUP($K$7,'モンスター　一覧'!$B$4:$O$198,14,FALSE)*性格一覧!$G9)*0.01*(VLOOKUP($L$3,ギルド一覧!$B$4:$R$29,11,FALSE)),(VLOOKUP($K$7,'モンスター　一覧'!$B$4:$O$198,14,FALSE)*性格一覧!$G9)*0.01*(VLOOKUP($L$3,ギルド一覧!$B$4:$R$29,17,FALSE)))</f>
        <v>27</v>
      </c>
      <c r="R18" s="205">
        <f t="shared" si="1"/>
        <v>896.15300000000002</v>
      </c>
      <c r="T18" s="64" t="s">
        <v>22</v>
      </c>
      <c r="U18" s="193">
        <f>IF($U$4="通常",(VLOOKUP($T$7,'モンスター　一覧'!$B$4:$O$198,9,FALSE)*性格一覧!$B9)*0.01*(VLOOKUP($U$3,ギルド一覧!$B$4:$R$29,6,FALSE)),(VLOOKUP($T$7,'モンスター　一覧'!$B$4:$O$198,9,FALSE)*性格一覧!$B9)*0.01*(VLOOKUP($U$3,ギルド一覧!$B$4:$R$29,12,FALSE)))</f>
        <v>37.82</v>
      </c>
      <c r="V18" s="193">
        <f>IF($U$4="通常",(VLOOKUP($T$7,'モンスター　一覧'!$B$4:$O$198,10,FALSE)*性格一覧!$C9)*0.01*(VLOOKUP($U$3,ギルド一覧!$B$4:$R$29,7,FALSE)),(VLOOKUP($T$7,'モンスター　一覧'!$B$4:$O$198,10,FALSE)*性格一覧!$C9)*0.01*(VLOOKUP($U$3,ギルド一覧!$B$4:$R$29,13,FALSE)))</f>
        <v>29.64</v>
      </c>
      <c r="W18" s="193">
        <f>IF($U$4="通常",(VLOOKUP($T$7,'モンスター　一覧'!$B$4:$O$198,11,FALSE)*性格一覧!$D9)*0.01*(VLOOKUP($U$3,ギルド一覧!$B$4:$R$29,8,FALSE)),(VLOOKUP($T$7,'モンスター　一覧'!$B$4:$O$198,11,FALSE)*性格一覧!$D9)*0.01*(VLOOKUP($U$3,ギルド一覧!$B$4:$R$29,14,FALSE)))</f>
        <v>30.240000000000002</v>
      </c>
      <c r="X18" s="193">
        <f>IF($U$4="通常",(VLOOKUP($T$7,'モンスター　一覧'!$B$4:$O$198,12,FALSE)*性格一覧!$E9)*0.01*(VLOOKUP($U$3,ギルド一覧!$B$4:$R$29,9,FALSE)),(VLOOKUP($T$7,'モンスター　一覧'!$B$4:$O$198,12,FALSE)*性格一覧!$E9)*0.01*(VLOOKUP($U$3,ギルド一覧!$B$4:$R$29,15,FALSE)))</f>
        <v>354.29</v>
      </c>
      <c r="Y18" s="193">
        <f>IF($U$4="通常",(VLOOKUP($T$7,'モンスター　一覧'!$B$4:$O$198,13,FALSE)*性格一覧!$F9)*0.01*(VLOOKUP($U$3,ギルド一覧!$B$4:$R$29,10,FALSE)),(VLOOKUP($T$7,'モンスター　一覧'!$B$4:$O$198,13,FALSE)*性格一覧!$F9)*0.01*(VLOOKUP($U$3,ギルド一覧!$B$4:$R$29,16,FALSE)))</f>
        <v>443.52</v>
      </c>
      <c r="Z18" s="194">
        <f>IF($U$4="通常",(VLOOKUP($T$7,'モンスター　一覧'!$B$4:$O$198,14,FALSE)*性格一覧!$G9)*0.01*(VLOOKUP($U$3,ギルド一覧!$B$4:$R$29,11,FALSE)),(VLOOKUP($T$7,'モンスター　一覧'!$B$4:$O$198,14,FALSE)*性格一覧!$G9)*0.01*(VLOOKUP($U$3,ギルド一覧!$B$4:$R$29,17,FALSE)))</f>
        <v>27</v>
      </c>
      <c r="AA18" s="205">
        <f t="shared" si="2"/>
        <v>922.51</v>
      </c>
      <c r="AC18" s="152" t="s">
        <v>127</v>
      </c>
      <c r="AD18" s="219" t="s">
        <v>844</v>
      </c>
    </row>
    <row r="19" spans="2:30" s="55" customFormat="1" ht="12">
      <c r="B19" s="64" t="s">
        <v>23</v>
      </c>
      <c r="C19" s="193">
        <f>IF($C$4="通常",(VLOOKUP($B$7,'モンスター　一覧'!$B$4:$O$198,9,FALSE)*性格一覧!$B10)*0.01*(VLOOKUP($C$3,ギルド一覧!$B$4:$R$29,6,FALSE)),(VLOOKUP($B$7,'モンスター　一覧'!$B$4:$O$198,9,FALSE)*性格一覧!$B10)*0.01*(VLOOKUP($C$3,ギルド一覧!$B$4:$R$29,12,FALSE)))</f>
        <v>192.72</v>
      </c>
      <c r="D19" s="193">
        <f>IF($C$4="通常",(VLOOKUP($B$7,'モンスター　一覧'!$B$4:$O$198,10,FALSE)*性格一覧!$C10)*0.01*(VLOOKUP($C$3,ギルド一覧!$B$4:$R$29,7,FALSE)),(VLOOKUP($B$7,'モンスター　一覧'!$B$4:$O$198,10,FALSE)*性格一覧!$C10)*0.01*(VLOOKUP($C$3,ギルド一覧!$B$4:$R$29,13,FALSE)))</f>
        <v>47.45</v>
      </c>
      <c r="E19" s="193">
        <f>IF($C$4="通常",(VLOOKUP($B$7,'モンスター　一覧'!$B$4:$O$198,11,FALSE)*性格一覧!$D10)*0.01*(VLOOKUP($C$3,ギルド一覧!$B$4:$R$29,8,FALSE)),(VLOOKUP($B$7,'モンスター　一覧'!$B$4:$O$198,11,FALSE)*性格一覧!$D10)*0.01*(VLOOKUP($C$3,ギルド一覧!$B$4:$R$29,14,FALSE)))</f>
        <v>74.52</v>
      </c>
      <c r="F19" s="193">
        <f>IF($C$4="通常",(VLOOKUP($B$7,'モンスター　一覧'!$B$4:$O$198,12,FALSE)*性格一覧!$E10)*0.01*(VLOOKUP($C$3,ギルド一覧!$B$4:$R$29,9,FALSE)),(VLOOKUP($B$7,'モンスター　一覧'!$B$4:$O$198,12,FALSE)*性格一覧!$E10)*0.01*(VLOOKUP($C$3,ギルド一覧!$B$4:$R$29,15,FALSE)))</f>
        <v>91.84</v>
      </c>
      <c r="G19" s="193">
        <f>IF($C$4="通常",(VLOOKUP($B$7,'モンスター　一覧'!$B$4:$O$198,13,FALSE)*性格一覧!$F10)*0.01*(VLOOKUP($C$3,ギルド一覧!$B$4:$R$29,10,FALSE)),(VLOOKUP($B$7,'モンスター　一覧'!$B$4:$O$198,13,FALSE)*性格一覧!$F10)*0.01*(VLOOKUP($C$3,ギルド一覧!$B$4:$R$29,16,FALSE)))</f>
        <v>42.4</v>
      </c>
      <c r="H19" s="194">
        <f>IF($C$4="通常",(VLOOKUP($B$7,'モンスター　一覧'!$B$4:$O$198,14,FALSE)*性格一覧!$G10)*0.01*(VLOOKUP($C$3,ギルド一覧!$B$4:$R$29,11,FALSE)),(VLOOKUP($B$7,'モンスター　一覧'!$B$4:$O$198,14,FALSE)*性格一覧!$G10)*0.01*(VLOOKUP($C$3,ギルド一覧!$B$4:$R$29,17,FALSE)))</f>
        <v>92.4</v>
      </c>
      <c r="I19" s="205">
        <f t="shared" si="0"/>
        <v>541.32999999999993</v>
      </c>
      <c r="J19" s="56"/>
      <c r="K19" s="64" t="s">
        <v>23</v>
      </c>
      <c r="L19" s="193">
        <f>IF($L$4="通常",(VLOOKUP($K$7,'モンスター　一覧'!$B$4:$O$198,9,FALSE)*性格一覧!$B10)*0.01*(VLOOKUP($L$3,ギルド一覧!$B$4:$R$29,6,FALSE)),(VLOOKUP($K$7,'モンスター　一覧'!$B$4:$O$198,9,FALSE)*性格一覧!$B10)*0.01*(VLOOKUP($L$3,ギルド一覧!$B$4:$R$29,12,FALSE)))</f>
        <v>40.92</v>
      </c>
      <c r="M19" s="193">
        <f>IF($L$4="通常",(VLOOKUP($K$7,'モンスター　一覧'!$B$4:$O$198,10,FALSE)*性格一覧!$C10)*0.01*(VLOOKUP($L$3,ギルド一覧!$B$4:$R$29,7,FALSE)),(VLOOKUP($K$7,'モンスター　一覧'!$B$4:$O$198,10,FALSE)*性格一覧!$C10)*0.01*(VLOOKUP($L$3,ギルド一覧!$B$4:$R$29,13,FALSE)))</f>
        <v>25.35</v>
      </c>
      <c r="N19" s="193">
        <f>IF($L$4="通常",(VLOOKUP($K$7,'モンスター　一覧'!$B$4:$O$198,11,FALSE)*性格一覧!$D10)*0.01*(VLOOKUP($L$3,ギルド一覧!$B$4:$R$29,8,FALSE)),(VLOOKUP($K$7,'モンスター　一覧'!$B$4:$O$198,11,FALSE)*性格一覧!$D10)*0.01*(VLOOKUP($L$3,ギルド一覧!$B$4:$R$29,14,FALSE)))</f>
        <v>50.544000000000004</v>
      </c>
      <c r="O19" s="193">
        <f>IF($L$4="通常",(VLOOKUP($K$7,'モンスター　一覧'!$B$4:$O$198,12,FALSE)*性格一覧!$E10)*0.01*(VLOOKUP($L$3,ギルド一覧!$B$4:$R$29,9,FALSE)),(VLOOKUP($K$7,'モンスター　一覧'!$B$4:$O$198,12,FALSE)*性格一覧!$E10)*0.01*(VLOOKUP($L$3,ギルド一覧!$B$4:$R$29,15,FALSE)))</f>
        <v>502.99200000000002</v>
      </c>
      <c r="P19" s="193">
        <f>IF($L$4="通常",(VLOOKUP($K$7,'モンスター　一覧'!$B$4:$O$198,13,FALSE)*性格一覧!$F10)*0.01*(VLOOKUP($L$3,ギルド一覧!$B$4:$R$29,10,FALSE)),(VLOOKUP($K$7,'モンスター　一覧'!$B$4:$O$198,13,FALSE)*性格一覧!$F10)*0.01*(VLOOKUP($L$3,ギルド一覧!$B$4:$R$29,16,FALSE)))</f>
        <v>186.56</v>
      </c>
      <c r="Q19" s="194">
        <f>IF($L$4="通常",(VLOOKUP($K$7,'モンスター　一覧'!$B$4:$O$198,14,FALSE)*性格一覧!$G10)*0.01*(VLOOKUP($L$3,ギルド一覧!$B$4:$R$29,11,FALSE)),(VLOOKUP($K$7,'モンスター　一覧'!$B$4:$O$198,14,FALSE)*性格一覧!$G10)*0.01*(VLOOKUP($L$3,ギルド一覧!$B$4:$R$29,17,FALSE)))</f>
        <v>27</v>
      </c>
      <c r="R19" s="205">
        <f t="shared" si="1"/>
        <v>833.36599999999999</v>
      </c>
      <c r="T19" s="64" t="s">
        <v>23</v>
      </c>
      <c r="U19" s="193">
        <f>IF($U$4="通常",(VLOOKUP($T$7,'モンスター　一覧'!$B$4:$O$198,9,FALSE)*性格一覧!$B10)*0.01*(VLOOKUP($U$3,ギルド一覧!$B$4:$R$29,6,FALSE)),(VLOOKUP($T$7,'モンスター　一覧'!$B$4:$O$198,9,FALSE)*性格一覧!$B10)*0.01*(VLOOKUP($U$3,ギルド一覧!$B$4:$R$29,12,FALSE)))</f>
        <v>40.92</v>
      </c>
      <c r="V19" s="193">
        <f>IF($U$4="通常",(VLOOKUP($T$7,'モンスター　一覧'!$B$4:$O$198,10,FALSE)*性格一覧!$C10)*0.01*(VLOOKUP($U$3,ギルド一覧!$B$4:$R$29,7,FALSE)),(VLOOKUP($T$7,'モンスター　一覧'!$B$4:$O$198,10,FALSE)*性格一覧!$C10)*0.01*(VLOOKUP($U$3,ギルド一覧!$B$4:$R$29,13,FALSE)))</f>
        <v>25.35</v>
      </c>
      <c r="W19" s="193">
        <f>IF($U$4="通常",(VLOOKUP($T$7,'モンスター　一覧'!$B$4:$O$198,11,FALSE)*性格一覧!$D10)*0.01*(VLOOKUP($U$3,ギルド一覧!$B$4:$R$29,8,FALSE)),(VLOOKUP($T$7,'モンスター　一覧'!$B$4:$O$198,11,FALSE)*性格一覧!$D10)*0.01*(VLOOKUP($U$3,ギルド一覧!$B$4:$R$29,14,FALSE)))</f>
        <v>38.880000000000003</v>
      </c>
      <c r="X19" s="193">
        <f>IF($U$4="通常",(VLOOKUP($T$7,'モンスター　一覧'!$B$4:$O$198,12,FALSE)*性格一覧!$E10)*0.01*(VLOOKUP($U$3,ギルド一覧!$B$4:$R$29,9,FALSE)),(VLOOKUP($T$7,'モンスター　一覧'!$B$4:$O$198,12,FALSE)*性格一覧!$E10)*0.01*(VLOOKUP($U$3,ギルド一覧!$B$4:$R$29,15,FALSE)))</f>
        <v>558.88</v>
      </c>
      <c r="Y19" s="193">
        <f>IF($U$4="通常",(VLOOKUP($T$7,'モンスター　一覧'!$B$4:$O$198,13,FALSE)*性格一覧!$F10)*0.01*(VLOOKUP($U$3,ギルド一覧!$B$4:$R$29,10,FALSE)),(VLOOKUP($T$7,'モンスター　一覧'!$B$4:$O$198,13,FALSE)*性格一覧!$F10)*0.01*(VLOOKUP($U$3,ギルド一覧!$B$4:$R$29,16,FALSE)))</f>
        <v>186.56</v>
      </c>
      <c r="Z19" s="194">
        <f>IF($U$4="通常",(VLOOKUP($T$7,'モンスター　一覧'!$B$4:$O$198,14,FALSE)*性格一覧!$G10)*0.01*(VLOOKUP($U$3,ギルド一覧!$B$4:$R$29,11,FALSE)),(VLOOKUP($T$7,'モンスター　一覧'!$B$4:$O$198,14,FALSE)*性格一覧!$G10)*0.01*(VLOOKUP($U$3,ギルド一覧!$B$4:$R$29,17,FALSE)))</f>
        <v>27</v>
      </c>
      <c r="AA19" s="205">
        <f t="shared" si="2"/>
        <v>877.58999999999992</v>
      </c>
      <c r="AC19" s="152" t="s">
        <v>204</v>
      </c>
      <c r="AD19" s="219" t="s">
        <v>845</v>
      </c>
    </row>
    <row r="20" spans="2:30" s="55" customFormat="1" ht="12">
      <c r="B20" s="64" t="s">
        <v>24</v>
      </c>
      <c r="C20" s="193">
        <f>IF($C$4="通常",(VLOOKUP($B$7,'モンスター　一覧'!$B$4:$O$198,9,FALSE)*性格一覧!$B11)*0.01*(VLOOKUP($C$3,ギルド一覧!$B$4:$R$29,6,FALSE)),(VLOOKUP($B$7,'モンスター　一覧'!$B$4:$O$198,9,FALSE)*性格一覧!$B11)*0.01*(VLOOKUP($C$3,ギルド一覧!$B$4:$R$29,12,FALSE)))</f>
        <v>102.2</v>
      </c>
      <c r="D20" s="193">
        <f>IF($C$4="通常",(VLOOKUP($B$7,'モンスター　一覧'!$B$4:$O$198,10,FALSE)*性格一覧!$C11)*0.01*(VLOOKUP($C$3,ギルド一覧!$B$4:$R$29,7,FALSE)),(VLOOKUP($B$7,'モンスター　一覧'!$B$4:$O$198,10,FALSE)*性格一覧!$C11)*0.01*(VLOOKUP($C$3,ギルド一覧!$B$4:$R$29,13,FALSE)))</f>
        <v>96.36</v>
      </c>
      <c r="E20" s="193">
        <f>IF($C$4="通常",(VLOOKUP($B$7,'モンスター　一覧'!$B$4:$O$198,11,FALSE)*性格一覧!$D11)*0.01*(VLOOKUP($C$3,ギルド一覧!$B$4:$R$29,8,FALSE)),(VLOOKUP($B$7,'モンスター　一覧'!$B$4:$O$198,11,FALSE)*性格一覧!$D11)*0.01*(VLOOKUP($C$3,ギルド一覧!$B$4:$R$29,14,FALSE)))</f>
        <v>77.97</v>
      </c>
      <c r="F20" s="193">
        <f>IF($C$4="通常",(VLOOKUP($B$7,'モンスター　一覧'!$B$4:$O$198,12,FALSE)*性格一覧!$E11)*0.01*(VLOOKUP($C$3,ギルド一覧!$B$4:$R$29,9,FALSE)),(VLOOKUP($B$7,'モンスター　一覧'!$B$4:$O$198,12,FALSE)*性格一覧!$E11)*0.01*(VLOOKUP($C$3,ギルド一覧!$B$4:$R$29,15,FALSE)))</f>
        <v>91.84</v>
      </c>
      <c r="G20" s="193">
        <f>IF($C$4="通常",(VLOOKUP($B$7,'モンスター　一覧'!$B$4:$O$198,13,FALSE)*性格一覧!$F11)*0.01*(VLOOKUP($C$3,ギルド一覧!$B$4:$R$29,10,FALSE)),(VLOOKUP($B$7,'モンスター　一覧'!$B$4:$O$198,13,FALSE)*性格一覧!$F11)*0.01*(VLOOKUP($C$3,ギルド一覧!$B$4:$R$29,16,FALSE)))</f>
        <v>52</v>
      </c>
      <c r="H20" s="194">
        <f>IF($C$4="通常",(VLOOKUP($B$7,'モンスター　一覧'!$B$4:$O$198,14,FALSE)*性格一覧!$G11)*0.01*(VLOOKUP($C$3,ギルド一覧!$B$4:$R$29,11,FALSE)),(VLOOKUP($B$7,'モンスター　一覧'!$B$4:$O$198,14,FALSE)*性格一覧!$G11)*0.01*(VLOOKUP($C$3,ギルド一覧!$B$4:$R$29,17,FALSE)))</f>
        <v>167.86</v>
      </c>
      <c r="I20" s="205">
        <f t="shared" si="0"/>
        <v>588.23</v>
      </c>
      <c r="J20" s="56"/>
      <c r="K20" s="64" t="s">
        <v>24</v>
      </c>
      <c r="L20" s="193">
        <f>IF($L$4="通常",(VLOOKUP($K$7,'モンスター　一覧'!$B$4:$O$198,9,FALSE)*性格一覧!$B11)*0.01*(VLOOKUP($L$3,ギルド一覧!$B$4:$R$29,6,FALSE)),(VLOOKUP($K$7,'モンスター　一覧'!$B$4:$O$198,9,FALSE)*性格一覧!$B11)*0.01*(VLOOKUP($L$3,ギルド一覧!$B$4:$R$29,12,FALSE)))</f>
        <v>21.7</v>
      </c>
      <c r="M20" s="193">
        <f>IF($L$4="通常",(VLOOKUP($K$7,'モンスター　一覧'!$B$4:$O$198,10,FALSE)*性格一覧!$C11)*0.01*(VLOOKUP($L$3,ギルド一覧!$B$4:$R$29,7,FALSE)),(VLOOKUP($K$7,'モンスター　一覧'!$B$4:$O$198,10,FALSE)*性格一覧!$C11)*0.01*(VLOOKUP($L$3,ギルド一覧!$B$4:$R$29,13,FALSE)))</f>
        <v>51.480000000000004</v>
      </c>
      <c r="N20" s="193">
        <f>IF($L$4="通常",(VLOOKUP($K$7,'モンスター　一覧'!$B$4:$O$198,11,FALSE)*性格一覧!$D11)*0.01*(VLOOKUP($L$3,ギルド一覧!$B$4:$R$29,8,FALSE)),(VLOOKUP($K$7,'モンスター　一覧'!$B$4:$O$198,11,FALSE)*性格一覧!$D11)*0.01*(VLOOKUP($L$3,ギルド一覧!$B$4:$R$29,14,FALSE)))</f>
        <v>52.884</v>
      </c>
      <c r="O20" s="193">
        <f>IF($L$4="通常",(VLOOKUP($K$7,'モンスター　一覧'!$B$4:$O$198,12,FALSE)*性格一覧!$E11)*0.01*(VLOOKUP($L$3,ギルド一覧!$B$4:$R$29,9,FALSE)),(VLOOKUP($K$7,'モンスター　一覧'!$B$4:$O$198,12,FALSE)*性格一覧!$E11)*0.01*(VLOOKUP($L$3,ギルド一覧!$B$4:$R$29,15,FALSE)))</f>
        <v>502.99200000000002</v>
      </c>
      <c r="P20" s="193">
        <f>IF($L$4="通常",(VLOOKUP($K$7,'モンスター　一覧'!$B$4:$O$198,13,FALSE)*性格一覧!$F11)*0.01*(VLOOKUP($L$3,ギルド一覧!$B$4:$R$29,10,FALSE)),(VLOOKUP($K$7,'モンスター　一覧'!$B$4:$O$198,13,FALSE)*性格一覧!$F11)*0.01*(VLOOKUP($L$3,ギルド一覧!$B$4:$R$29,16,FALSE)))</f>
        <v>228.8</v>
      </c>
      <c r="Q20" s="194">
        <f>IF($L$4="通常",(VLOOKUP($K$7,'モンスター　一覧'!$B$4:$O$198,14,FALSE)*性格一覧!$G11)*0.01*(VLOOKUP($L$3,ギルド一覧!$B$4:$R$29,11,FALSE)),(VLOOKUP($K$7,'モンスター　一覧'!$B$4:$O$198,14,FALSE)*性格一覧!$G11)*0.01*(VLOOKUP($L$3,ギルド一覧!$B$4:$R$29,17,FALSE)))</f>
        <v>49.050000000000004</v>
      </c>
      <c r="R20" s="205">
        <f t="shared" si="1"/>
        <v>906.90599999999995</v>
      </c>
      <c r="T20" s="64" t="s">
        <v>24</v>
      </c>
      <c r="U20" s="193">
        <f>IF($U$4="通常",(VLOOKUP($T$7,'モンスター　一覧'!$B$4:$O$198,9,FALSE)*性格一覧!$B11)*0.01*(VLOOKUP($U$3,ギルド一覧!$B$4:$R$29,6,FALSE)),(VLOOKUP($T$7,'モンスター　一覧'!$B$4:$O$198,9,FALSE)*性格一覧!$B11)*0.01*(VLOOKUP($U$3,ギルド一覧!$B$4:$R$29,12,FALSE)))</f>
        <v>21.7</v>
      </c>
      <c r="V20" s="193">
        <f>IF($U$4="通常",(VLOOKUP($T$7,'モンスター　一覧'!$B$4:$O$198,10,FALSE)*性格一覧!$C11)*0.01*(VLOOKUP($U$3,ギルド一覧!$B$4:$R$29,7,FALSE)),(VLOOKUP($T$7,'モンスター　一覧'!$B$4:$O$198,10,FALSE)*性格一覧!$C11)*0.01*(VLOOKUP($U$3,ギルド一覧!$B$4:$R$29,13,FALSE)))</f>
        <v>51.480000000000004</v>
      </c>
      <c r="W20" s="193">
        <f>IF($U$4="通常",(VLOOKUP($T$7,'モンスター　一覧'!$B$4:$O$198,11,FALSE)*性格一覧!$D11)*0.01*(VLOOKUP($U$3,ギルド一覧!$B$4:$R$29,8,FALSE)),(VLOOKUP($T$7,'モンスター　一覧'!$B$4:$O$198,11,FALSE)*性格一覧!$D11)*0.01*(VLOOKUP($U$3,ギルド一覧!$B$4:$R$29,14,FALSE)))</f>
        <v>40.68</v>
      </c>
      <c r="X20" s="193">
        <f>IF($U$4="通常",(VLOOKUP($T$7,'モンスター　一覧'!$B$4:$O$198,12,FALSE)*性格一覧!$E11)*0.01*(VLOOKUP($U$3,ギルド一覧!$B$4:$R$29,9,FALSE)),(VLOOKUP($T$7,'モンスター　一覧'!$B$4:$O$198,12,FALSE)*性格一覧!$E11)*0.01*(VLOOKUP($U$3,ギルド一覧!$B$4:$R$29,15,FALSE)))</f>
        <v>558.88</v>
      </c>
      <c r="Y20" s="193">
        <f>IF($U$4="通常",(VLOOKUP($T$7,'モンスター　一覧'!$B$4:$O$198,13,FALSE)*性格一覧!$F11)*0.01*(VLOOKUP($U$3,ギルド一覧!$B$4:$R$29,10,FALSE)),(VLOOKUP($T$7,'モンスター　一覧'!$B$4:$O$198,13,FALSE)*性格一覧!$F11)*0.01*(VLOOKUP($U$3,ギルド一覧!$B$4:$R$29,16,FALSE)))</f>
        <v>228.8</v>
      </c>
      <c r="Z20" s="194">
        <f>IF($U$4="通常",(VLOOKUP($T$7,'モンスター　一覧'!$B$4:$O$198,14,FALSE)*性格一覧!$G11)*0.01*(VLOOKUP($U$3,ギルド一覧!$B$4:$R$29,11,FALSE)),(VLOOKUP($T$7,'モンスター　一覧'!$B$4:$O$198,14,FALSE)*性格一覧!$G11)*0.01*(VLOOKUP($U$3,ギルド一覧!$B$4:$R$29,17,FALSE)))</f>
        <v>49.050000000000004</v>
      </c>
      <c r="AA20" s="205">
        <f t="shared" si="2"/>
        <v>950.58999999999992</v>
      </c>
      <c r="AC20" s="152" t="s">
        <v>89</v>
      </c>
      <c r="AD20" s="219" t="s">
        <v>859</v>
      </c>
    </row>
    <row r="21" spans="2:30" s="55" customFormat="1" ht="12">
      <c r="B21" s="64" t="s">
        <v>25</v>
      </c>
      <c r="C21" s="193">
        <f>IF($C$4="通常",(VLOOKUP($B$7,'モンスター　一覧'!$B$4:$O$198,9,FALSE)*性格一覧!$B12)*0.01*(VLOOKUP($C$3,ギルド一覧!$B$4:$R$29,6,FALSE)),(VLOOKUP($B$7,'モンスター　一覧'!$B$4:$O$198,9,FALSE)*性格一覧!$B12)*0.01*(VLOOKUP($C$3,ギルド一覧!$B$4:$R$29,12,FALSE)))</f>
        <v>167.9</v>
      </c>
      <c r="D21" s="193">
        <f>IF($C$4="通常",(VLOOKUP($B$7,'モンスター　一覧'!$B$4:$O$198,10,FALSE)*性格一覧!$C12)*0.01*(VLOOKUP($C$3,ギルド一覧!$B$4:$R$29,7,FALSE)),(VLOOKUP($B$7,'モンスター　一覧'!$B$4:$O$198,10,FALSE)*性格一覧!$C12)*0.01*(VLOOKUP($C$3,ギルド一覧!$B$4:$R$29,13,FALSE)))</f>
        <v>54.75</v>
      </c>
      <c r="E21" s="193">
        <f>IF($C$4="通常",(VLOOKUP($B$7,'モンスター　一覧'!$B$4:$O$198,11,FALSE)*性格一覧!$D12)*0.01*(VLOOKUP($C$3,ギルド一覧!$B$4:$R$29,8,FALSE)),(VLOOKUP($B$7,'モンスター　一覧'!$B$4:$O$198,11,FALSE)*性格一覧!$D12)*0.01*(VLOOKUP($C$3,ギルド一覧!$B$4:$R$29,14,FALSE)))</f>
        <v>80.73</v>
      </c>
      <c r="F21" s="193">
        <f>IF($C$4="通常",(VLOOKUP($B$7,'モンスター　一覧'!$B$4:$O$198,12,FALSE)*性格一覧!$E12)*0.01*(VLOOKUP($C$3,ギルド一覧!$B$4:$R$29,9,FALSE)),(VLOOKUP($B$7,'モンスター　一覧'!$B$4:$O$198,12,FALSE)*性格一覧!$E12)*0.01*(VLOOKUP($C$3,ギルド一覧!$B$4:$R$29,15,FALSE)))</f>
        <v>62.32</v>
      </c>
      <c r="G21" s="193">
        <f>IF($C$4="通常",(VLOOKUP($B$7,'モンスター　一覧'!$B$4:$O$198,13,FALSE)*性格一覧!$F12)*0.01*(VLOOKUP($C$3,ギルド一覧!$B$4:$R$29,10,FALSE)),(VLOOKUP($B$7,'モンスター　一覧'!$B$4:$O$198,13,FALSE)*性格一覧!$F12)*0.01*(VLOOKUP($C$3,ギルド一覧!$B$4:$R$29,16,FALSE)))</f>
        <v>78.400000000000006</v>
      </c>
      <c r="H21" s="194">
        <f>IF($C$4="通常",(VLOOKUP($B$7,'モンスター　一覧'!$B$4:$O$198,14,FALSE)*性格一覧!$G12)*0.01*(VLOOKUP($C$3,ギルド一覧!$B$4:$R$29,11,FALSE)),(VLOOKUP($B$7,'モンスター　一覧'!$B$4:$O$198,14,FALSE)*性格一覧!$G12)*0.01*(VLOOKUP($C$3,ギルド一覧!$B$4:$R$29,17,FALSE)))</f>
        <v>100.10000000000001</v>
      </c>
      <c r="I21" s="205">
        <f t="shared" si="0"/>
        <v>544.20000000000005</v>
      </c>
      <c r="J21" s="56"/>
      <c r="K21" s="64" t="s">
        <v>25</v>
      </c>
      <c r="L21" s="193">
        <f>IF($L$4="通常",(VLOOKUP($K$7,'モンスター　一覧'!$B$4:$O$198,9,FALSE)*性格一覧!$B12)*0.01*(VLOOKUP($L$3,ギルド一覧!$B$4:$R$29,6,FALSE)),(VLOOKUP($K$7,'モンスター　一覧'!$B$4:$O$198,9,FALSE)*性格一覧!$B12)*0.01*(VLOOKUP($L$3,ギルド一覧!$B$4:$R$29,12,FALSE)))</f>
        <v>35.65</v>
      </c>
      <c r="M21" s="193">
        <f>IF($L$4="通常",(VLOOKUP($K$7,'モンスター　一覧'!$B$4:$O$198,10,FALSE)*性格一覧!$C12)*0.01*(VLOOKUP($L$3,ギルド一覧!$B$4:$R$29,7,FALSE)),(VLOOKUP($K$7,'モンスター　一覧'!$B$4:$O$198,10,FALSE)*性格一覧!$C12)*0.01*(VLOOKUP($L$3,ギルド一覧!$B$4:$R$29,13,FALSE)))</f>
        <v>29.25</v>
      </c>
      <c r="N21" s="193">
        <f>IF($L$4="通常",(VLOOKUP($K$7,'モンスター　一覧'!$B$4:$O$198,11,FALSE)*性格一覧!$D12)*0.01*(VLOOKUP($L$3,ギルド一覧!$B$4:$R$29,8,FALSE)),(VLOOKUP($K$7,'モンスター　一覧'!$B$4:$O$198,11,FALSE)*性格一覧!$D12)*0.01*(VLOOKUP($L$3,ギルド一覧!$B$4:$R$29,14,FALSE)))</f>
        <v>54.756</v>
      </c>
      <c r="O21" s="193">
        <f>IF($L$4="通常",(VLOOKUP($K$7,'モンスター　一覧'!$B$4:$O$198,12,FALSE)*性格一覧!$E12)*0.01*(VLOOKUP($L$3,ギルド一覧!$B$4:$R$29,9,FALSE)),(VLOOKUP($K$7,'モンスター　一覧'!$B$4:$O$198,12,FALSE)*性格一覧!$E12)*0.01*(VLOOKUP($L$3,ギルド一覧!$B$4:$R$29,15,FALSE)))</f>
        <v>341.31600000000003</v>
      </c>
      <c r="P21" s="193">
        <f>IF($L$4="通常",(VLOOKUP($K$7,'モンスター　一覧'!$B$4:$O$198,13,FALSE)*性格一覧!$F12)*0.01*(VLOOKUP($L$3,ギルド一覧!$B$4:$R$29,10,FALSE)),(VLOOKUP($K$7,'モンスター　一覧'!$B$4:$O$198,13,FALSE)*性格一覧!$F12)*0.01*(VLOOKUP($L$3,ギルド一覧!$B$4:$R$29,16,FALSE)))</f>
        <v>344.96</v>
      </c>
      <c r="Q21" s="194">
        <f>IF($L$4="通常",(VLOOKUP($K$7,'モンスター　一覧'!$B$4:$O$198,14,FALSE)*性格一覧!$G12)*0.01*(VLOOKUP($L$3,ギルド一覧!$B$4:$R$29,11,FALSE)),(VLOOKUP($K$7,'モンスター　一覧'!$B$4:$O$198,14,FALSE)*性格一覧!$G12)*0.01*(VLOOKUP($L$3,ギルド一覧!$B$4:$R$29,17,FALSE)))</f>
        <v>29.25</v>
      </c>
      <c r="R21" s="205">
        <f t="shared" si="1"/>
        <v>835.18200000000002</v>
      </c>
      <c r="T21" s="64" t="s">
        <v>25</v>
      </c>
      <c r="U21" s="193">
        <f>IF($U$4="通常",(VLOOKUP($T$7,'モンスター　一覧'!$B$4:$O$198,9,FALSE)*性格一覧!$B12)*0.01*(VLOOKUP($U$3,ギルド一覧!$B$4:$R$29,6,FALSE)),(VLOOKUP($T$7,'モンスター　一覧'!$B$4:$O$198,9,FALSE)*性格一覧!$B12)*0.01*(VLOOKUP($U$3,ギルド一覧!$B$4:$R$29,12,FALSE)))</f>
        <v>35.65</v>
      </c>
      <c r="V21" s="193">
        <f>IF($U$4="通常",(VLOOKUP($T$7,'モンスター　一覧'!$B$4:$O$198,10,FALSE)*性格一覧!$C12)*0.01*(VLOOKUP($U$3,ギルド一覧!$B$4:$R$29,7,FALSE)),(VLOOKUP($T$7,'モンスター　一覧'!$B$4:$O$198,10,FALSE)*性格一覧!$C12)*0.01*(VLOOKUP($U$3,ギルド一覧!$B$4:$R$29,13,FALSE)))</f>
        <v>29.25</v>
      </c>
      <c r="W21" s="193">
        <f>IF($U$4="通常",(VLOOKUP($T$7,'モンスター　一覧'!$B$4:$O$198,11,FALSE)*性格一覧!$D12)*0.01*(VLOOKUP($U$3,ギルド一覧!$B$4:$R$29,8,FALSE)),(VLOOKUP($T$7,'モンスター　一覧'!$B$4:$O$198,11,FALSE)*性格一覧!$D12)*0.01*(VLOOKUP($U$3,ギルド一覧!$B$4:$R$29,14,FALSE)))</f>
        <v>42.12</v>
      </c>
      <c r="X21" s="193">
        <f>IF($U$4="通常",(VLOOKUP($T$7,'モンスター　一覧'!$B$4:$O$198,12,FALSE)*性格一覧!$E12)*0.01*(VLOOKUP($U$3,ギルド一覧!$B$4:$R$29,9,FALSE)),(VLOOKUP($T$7,'モンスター　一覧'!$B$4:$O$198,12,FALSE)*性格一覧!$E12)*0.01*(VLOOKUP($U$3,ギルド一覧!$B$4:$R$29,15,FALSE)))</f>
        <v>379.24</v>
      </c>
      <c r="Y21" s="193">
        <f>IF($U$4="通常",(VLOOKUP($T$7,'モンスター　一覧'!$B$4:$O$198,13,FALSE)*性格一覧!$F12)*0.01*(VLOOKUP($U$3,ギルド一覧!$B$4:$R$29,10,FALSE)),(VLOOKUP($T$7,'モンスター　一覧'!$B$4:$O$198,13,FALSE)*性格一覧!$F12)*0.01*(VLOOKUP($U$3,ギルド一覧!$B$4:$R$29,16,FALSE)))</f>
        <v>344.96</v>
      </c>
      <c r="Z21" s="194">
        <f>IF($U$4="通常",(VLOOKUP($T$7,'モンスター　一覧'!$B$4:$O$198,14,FALSE)*性格一覧!$G12)*0.01*(VLOOKUP($U$3,ギルド一覧!$B$4:$R$29,11,FALSE)),(VLOOKUP($T$7,'モンスター　一覧'!$B$4:$O$198,14,FALSE)*性格一覧!$G12)*0.01*(VLOOKUP($U$3,ギルド一覧!$B$4:$R$29,17,FALSE)))</f>
        <v>29.25</v>
      </c>
      <c r="AA21" s="205">
        <f t="shared" si="2"/>
        <v>860.47</v>
      </c>
      <c r="AC21" s="152" t="s">
        <v>158</v>
      </c>
      <c r="AD21" s="219" t="s">
        <v>860</v>
      </c>
    </row>
    <row r="22" spans="2:30" s="55" customFormat="1" ht="12">
      <c r="B22" s="64" t="s">
        <v>26</v>
      </c>
      <c r="C22" s="193">
        <f>IF($C$4="通常",(VLOOKUP($B$7,'モンスター　一覧'!$B$4:$O$198,9,FALSE)*性格一覧!$B13)*0.01*(VLOOKUP($C$3,ギルド一覧!$B$4:$R$29,6,FALSE)),(VLOOKUP($B$7,'モンスター　一覧'!$B$4:$O$198,9,FALSE)*性格一覧!$B13)*0.01*(VLOOKUP($C$3,ギルド一覧!$B$4:$R$29,12,FALSE)))</f>
        <v>164.98</v>
      </c>
      <c r="D22" s="193">
        <f>IF($C$4="通常",(VLOOKUP($B$7,'モンスター　一覧'!$B$4:$O$198,10,FALSE)*性格一覧!$C13)*0.01*(VLOOKUP($C$3,ギルド一覧!$B$4:$R$29,7,FALSE)),(VLOOKUP($B$7,'モンスター　一覧'!$B$4:$O$198,10,FALSE)*性格一覧!$C13)*0.01*(VLOOKUP($C$3,ギルド一覧!$B$4:$R$29,13,FALSE)))</f>
        <v>59.13</v>
      </c>
      <c r="E22" s="193">
        <f>IF($C$4="通常",(VLOOKUP($B$7,'モンスター　一覧'!$B$4:$O$198,11,FALSE)*性格一覧!$D13)*0.01*(VLOOKUP($C$3,ギルド一覧!$B$4:$R$29,8,FALSE)),(VLOOKUP($B$7,'モンスター　一覧'!$B$4:$O$198,11,FALSE)*性格一覧!$D13)*0.01*(VLOOKUP($C$3,ギルド一覧!$B$4:$R$29,14,FALSE)))</f>
        <v>69</v>
      </c>
      <c r="F22" s="193">
        <f>IF($C$4="通常",(VLOOKUP($B$7,'モンスター　一覧'!$B$4:$O$198,12,FALSE)*性格一覧!$E13)*0.01*(VLOOKUP($C$3,ギルド一覧!$B$4:$R$29,9,FALSE)),(VLOOKUP($B$7,'モンスター　一覧'!$B$4:$O$198,12,FALSE)*性格一覧!$E13)*0.01*(VLOOKUP($C$3,ギルド一覧!$B$4:$R$29,15,FALSE)))</f>
        <v>85.28</v>
      </c>
      <c r="G22" s="193">
        <f>IF($C$4="通常",(VLOOKUP($B$7,'モンスター　一覧'!$B$4:$O$198,13,FALSE)*性格一覧!$F13)*0.01*(VLOOKUP($C$3,ギルド一覧!$B$4:$R$29,10,FALSE)),(VLOOKUP($B$7,'モンスター　一覧'!$B$4:$O$198,13,FALSE)*性格一覧!$F13)*0.01*(VLOOKUP($C$3,ギルド一覧!$B$4:$R$29,16,FALSE)))</f>
        <v>94.4</v>
      </c>
      <c r="H22" s="194">
        <f>IF($C$4="通常",(VLOOKUP($B$7,'モンスター　一覧'!$B$4:$O$198,14,FALSE)*性格一覧!$G13)*0.01*(VLOOKUP($C$3,ギルド一覧!$B$4:$R$29,11,FALSE)),(VLOOKUP($B$7,'モンスター　一覧'!$B$4:$O$198,14,FALSE)*性格一覧!$G13)*0.01*(VLOOKUP($C$3,ギルド一覧!$B$4:$R$29,17,FALSE)))</f>
        <v>130.9</v>
      </c>
      <c r="I22" s="205">
        <f t="shared" si="0"/>
        <v>603.68999999999994</v>
      </c>
      <c r="J22" s="56"/>
      <c r="K22" s="64" t="s">
        <v>26</v>
      </c>
      <c r="L22" s="193">
        <f>IF($L$4="通常",(VLOOKUP($K$7,'モンスター　一覧'!$B$4:$O$198,9,FALSE)*性格一覧!$B13)*0.01*(VLOOKUP($L$3,ギルド一覧!$B$4:$R$29,6,FALSE)),(VLOOKUP($K$7,'モンスター　一覧'!$B$4:$O$198,9,FALSE)*性格一覧!$B13)*0.01*(VLOOKUP($L$3,ギルド一覧!$B$4:$R$29,12,FALSE)))</f>
        <v>35.03</v>
      </c>
      <c r="M22" s="193">
        <f>IF($L$4="通常",(VLOOKUP($K$7,'モンスター　一覧'!$B$4:$O$198,10,FALSE)*性格一覧!$C13)*0.01*(VLOOKUP($L$3,ギルド一覧!$B$4:$R$29,7,FALSE)),(VLOOKUP($K$7,'モンスター　一覧'!$B$4:$O$198,10,FALSE)*性格一覧!$C13)*0.01*(VLOOKUP($L$3,ギルド一覧!$B$4:$R$29,13,FALSE)))</f>
        <v>31.59</v>
      </c>
      <c r="N22" s="193">
        <f>IF($L$4="通常",(VLOOKUP($K$7,'モンスター　一覧'!$B$4:$O$198,11,FALSE)*性格一覧!$D13)*0.01*(VLOOKUP($L$3,ギルド一覧!$B$4:$R$29,8,FALSE)),(VLOOKUP($K$7,'モンスター　一覧'!$B$4:$O$198,11,FALSE)*性格一覧!$D13)*0.01*(VLOOKUP($L$3,ギルド一覧!$B$4:$R$29,14,FALSE)))</f>
        <v>46.800000000000004</v>
      </c>
      <c r="O22" s="193">
        <f>IF($L$4="通常",(VLOOKUP($K$7,'モンスター　一覧'!$B$4:$O$198,12,FALSE)*性格一覧!$E13)*0.01*(VLOOKUP($L$3,ギルド一覧!$B$4:$R$29,9,FALSE)),(VLOOKUP($K$7,'モンスター　一覧'!$B$4:$O$198,12,FALSE)*性格一覧!$E13)*0.01*(VLOOKUP($L$3,ギルド一覧!$B$4:$R$29,15,FALSE)))</f>
        <v>467.06400000000002</v>
      </c>
      <c r="P22" s="193">
        <f>IF($L$4="通常",(VLOOKUP($K$7,'モンスター　一覧'!$B$4:$O$198,13,FALSE)*性格一覧!$F13)*0.01*(VLOOKUP($L$3,ギルド一覧!$B$4:$R$29,10,FALSE)),(VLOOKUP($K$7,'モンスター　一覧'!$B$4:$O$198,13,FALSE)*性格一覧!$F13)*0.01*(VLOOKUP($L$3,ギルド一覧!$B$4:$R$29,16,FALSE)))</f>
        <v>415.36</v>
      </c>
      <c r="Q22" s="194">
        <f>IF($L$4="通常",(VLOOKUP($K$7,'モンスター　一覧'!$B$4:$O$198,14,FALSE)*性格一覧!$G13)*0.01*(VLOOKUP($L$3,ギルド一覧!$B$4:$R$29,11,FALSE)),(VLOOKUP($K$7,'モンスター　一覧'!$B$4:$O$198,14,FALSE)*性格一覧!$G13)*0.01*(VLOOKUP($L$3,ギルド一覧!$B$4:$R$29,17,FALSE)))</f>
        <v>38.25</v>
      </c>
      <c r="R22" s="205">
        <f t="shared" si="1"/>
        <v>1034.0940000000001</v>
      </c>
      <c r="T22" s="64" t="s">
        <v>26</v>
      </c>
      <c r="U22" s="193">
        <f>IF($U$4="通常",(VLOOKUP($T$7,'モンスター　一覧'!$B$4:$O$198,9,FALSE)*性格一覧!$B13)*0.01*(VLOOKUP($U$3,ギルド一覧!$B$4:$R$29,6,FALSE)),(VLOOKUP($T$7,'モンスター　一覧'!$B$4:$O$198,9,FALSE)*性格一覧!$B13)*0.01*(VLOOKUP($U$3,ギルド一覧!$B$4:$R$29,12,FALSE)))</f>
        <v>35.03</v>
      </c>
      <c r="V22" s="193">
        <f>IF($U$4="通常",(VLOOKUP($T$7,'モンスター　一覧'!$B$4:$O$198,10,FALSE)*性格一覧!$C13)*0.01*(VLOOKUP($U$3,ギルド一覧!$B$4:$R$29,7,FALSE)),(VLOOKUP($T$7,'モンスター　一覧'!$B$4:$O$198,10,FALSE)*性格一覧!$C13)*0.01*(VLOOKUP($U$3,ギルド一覧!$B$4:$R$29,13,FALSE)))</f>
        <v>31.59</v>
      </c>
      <c r="W22" s="193">
        <f>IF($U$4="通常",(VLOOKUP($T$7,'モンスター　一覧'!$B$4:$O$198,11,FALSE)*性格一覧!$D13)*0.01*(VLOOKUP($U$3,ギルド一覧!$B$4:$R$29,8,FALSE)),(VLOOKUP($T$7,'モンスター　一覧'!$B$4:$O$198,11,FALSE)*性格一覧!$D13)*0.01*(VLOOKUP($U$3,ギルド一覧!$B$4:$R$29,14,FALSE)))</f>
        <v>36</v>
      </c>
      <c r="X22" s="193">
        <f>IF($U$4="通常",(VLOOKUP($T$7,'モンスター　一覧'!$B$4:$O$198,12,FALSE)*性格一覧!$E13)*0.01*(VLOOKUP($U$3,ギルド一覧!$B$4:$R$29,9,FALSE)),(VLOOKUP($T$7,'モンスター　一覧'!$B$4:$O$198,12,FALSE)*性格一覧!$E13)*0.01*(VLOOKUP($U$3,ギルド一覧!$B$4:$R$29,15,FALSE)))</f>
        <v>518.96</v>
      </c>
      <c r="Y22" s="193">
        <f>IF($U$4="通常",(VLOOKUP($T$7,'モンスター　一覧'!$B$4:$O$198,13,FALSE)*性格一覧!$F13)*0.01*(VLOOKUP($U$3,ギルド一覧!$B$4:$R$29,10,FALSE)),(VLOOKUP($T$7,'モンスター　一覧'!$B$4:$O$198,13,FALSE)*性格一覧!$F13)*0.01*(VLOOKUP($U$3,ギルド一覧!$B$4:$R$29,16,FALSE)))</f>
        <v>415.36</v>
      </c>
      <c r="Z22" s="194">
        <f>IF($U$4="通常",(VLOOKUP($T$7,'モンスター　一覧'!$B$4:$O$198,14,FALSE)*性格一覧!$G13)*0.01*(VLOOKUP($U$3,ギルド一覧!$B$4:$R$29,11,FALSE)),(VLOOKUP($T$7,'モンスター　一覧'!$B$4:$O$198,14,FALSE)*性格一覧!$G13)*0.01*(VLOOKUP($U$3,ギルド一覧!$B$4:$R$29,17,FALSE)))</f>
        <v>38.25</v>
      </c>
      <c r="AA22" s="205">
        <f t="shared" si="2"/>
        <v>1075.19</v>
      </c>
      <c r="AC22" s="152" t="s">
        <v>212</v>
      </c>
      <c r="AD22" s="219" t="s">
        <v>861</v>
      </c>
    </row>
    <row r="23" spans="2:30" s="55" customFormat="1" ht="12">
      <c r="B23" s="64" t="s">
        <v>326</v>
      </c>
      <c r="C23" s="193">
        <f>IF($C$4="通常",(VLOOKUP($B$7,'モンスター　一覧'!$B$4:$O$198,9,FALSE)*性格一覧!$B14)*0.01*(VLOOKUP($C$3,ギルド一覧!$B$4:$R$29,6,FALSE)),(VLOOKUP($B$7,'モンスター　一覧'!$B$4:$O$198,9,FALSE)*性格一覧!$B14)*0.01*(VLOOKUP($C$3,ギルド一覧!$B$4:$R$29,12,FALSE)))</f>
        <v>134.32</v>
      </c>
      <c r="D23" s="193">
        <f>IF($C$4="通常",(VLOOKUP($B$7,'モンスター　一覧'!$B$4:$O$198,10,FALSE)*性格一覧!$C14)*0.01*(VLOOKUP($C$3,ギルド一覧!$B$4:$R$29,7,FALSE)),(VLOOKUP($B$7,'モンスター　一覧'!$B$4:$O$198,10,FALSE)*性格一覧!$C14)*0.01*(VLOOKUP($C$3,ギルド一覧!$B$4:$R$29,13,FALSE)))</f>
        <v>51.83</v>
      </c>
      <c r="E23" s="193">
        <f>IF($C$4="通常",(VLOOKUP($B$7,'モンスター　一覧'!$B$4:$O$198,11,FALSE)*性格一覧!$D14)*0.01*(VLOOKUP($C$3,ギルド一覧!$B$4:$R$29,8,FALSE)),(VLOOKUP($B$7,'モンスター　一覧'!$B$4:$O$198,11,FALSE)*性格一覧!$D14)*0.01*(VLOOKUP($C$3,ギルド一覧!$B$4:$R$29,14,FALSE)))</f>
        <v>60.72</v>
      </c>
      <c r="F23" s="193">
        <f>IF($C$4="通常",(VLOOKUP($B$7,'モンスター　一覧'!$B$4:$O$198,12,FALSE)*性格一覧!$E14)*0.01*(VLOOKUP($C$3,ギルド一覧!$B$4:$R$29,9,FALSE)),(VLOOKUP($B$7,'モンスター　一覧'!$B$4:$O$198,12,FALSE)*性格一覧!$E14)*0.01*(VLOOKUP($C$3,ギルド一覧!$B$4:$R$29,15,FALSE)))</f>
        <v>68.88</v>
      </c>
      <c r="G23" s="193">
        <f>IF($C$4="通常",(VLOOKUP($B$7,'モンスター　一覧'!$B$4:$O$198,13,FALSE)*性格一覧!$F14)*0.01*(VLOOKUP($C$3,ギルド一覧!$B$4:$R$29,10,FALSE)),(VLOOKUP($B$7,'モンスター　一覧'!$B$4:$O$198,13,FALSE)*性格一覧!$F14)*0.01*(VLOOKUP($C$3,ギルド一覧!$B$4:$R$29,16,FALSE)))</f>
        <v>102.4</v>
      </c>
      <c r="H23" s="194">
        <f>IF($C$4="通常",(VLOOKUP($B$7,'モンスター　一覧'!$B$4:$O$198,14,FALSE)*性格一覧!$G14)*0.01*(VLOOKUP($C$3,ギルド一覧!$B$4:$R$29,11,FALSE)),(VLOOKUP($B$7,'モンスター　一覧'!$B$4:$O$198,14,FALSE)*性格一覧!$G14)*0.01*(VLOOKUP($C$3,ギルド一覧!$B$4:$R$29,17,FALSE)))</f>
        <v>129.36000000000001</v>
      </c>
      <c r="I23" s="205">
        <f t="shared" si="0"/>
        <v>547.51</v>
      </c>
      <c r="J23" s="56"/>
      <c r="K23" s="64" t="s">
        <v>326</v>
      </c>
      <c r="L23" s="193">
        <f>IF($L$4="通常",(VLOOKUP($K$7,'モンスター　一覧'!$B$4:$O$198,9,FALSE)*性格一覧!$B14)*0.01*(VLOOKUP($L$3,ギルド一覧!$B$4:$R$29,6,FALSE)),(VLOOKUP($K$7,'モンスター　一覧'!$B$4:$O$198,9,FALSE)*性格一覧!$B14)*0.01*(VLOOKUP($L$3,ギルド一覧!$B$4:$R$29,12,FALSE)))</f>
        <v>28.52</v>
      </c>
      <c r="M23" s="193">
        <f>IF($L$4="通常",(VLOOKUP($K$7,'モンスター　一覧'!$B$4:$O$198,10,FALSE)*性格一覧!$C14)*0.01*(VLOOKUP($L$3,ギルド一覧!$B$4:$R$29,7,FALSE)),(VLOOKUP($K$7,'モンスター　一覧'!$B$4:$O$198,10,FALSE)*性格一覧!$C14)*0.01*(VLOOKUP($L$3,ギルド一覧!$B$4:$R$29,13,FALSE)))</f>
        <v>27.69</v>
      </c>
      <c r="N23" s="193">
        <f>IF($L$4="通常",(VLOOKUP($K$7,'モンスター　一覧'!$B$4:$O$198,11,FALSE)*性格一覧!$D14)*0.01*(VLOOKUP($L$3,ギルド一覧!$B$4:$R$29,8,FALSE)),(VLOOKUP($K$7,'モンスター　一覧'!$B$4:$O$198,11,FALSE)*性格一覧!$D14)*0.01*(VLOOKUP($L$3,ギルド一覧!$B$4:$R$29,14,FALSE)))</f>
        <v>41.183999999999997</v>
      </c>
      <c r="O23" s="193">
        <f>IF($L$4="通常",(VLOOKUP($K$7,'モンスター　一覧'!$B$4:$O$198,12,FALSE)*性格一覧!$E14)*0.01*(VLOOKUP($L$3,ギルド一覧!$B$4:$R$29,9,FALSE)),(VLOOKUP($K$7,'モンスター　一覧'!$B$4:$O$198,12,FALSE)*性格一覧!$E14)*0.01*(VLOOKUP($L$3,ギルド一覧!$B$4:$R$29,15,FALSE)))</f>
        <v>377.24400000000003</v>
      </c>
      <c r="P23" s="193">
        <f>IF($L$4="通常",(VLOOKUP($K$7,'モンスター　一覧'!$B$4:$O$198,13,FALSE)*性格一覧!$F14)*0.01*(VLOOKUP($L$3,ギルド一覧!$B$4:$R$29,10,FALSE)),(VLOOKUP($K$7,'モンスター　一覧'!$B$4:$O$198,13,FALSE)*性格一覧!$F14)*0.01*(VLOOKUP($L$3,ギルド一覧!$B$4:$R$29,16,FALSE)))</f>
        <v>450.56</v>
      </c>
      <c r="Q23" s="194">
        <f>IF($L$4="通常",(VLOOKUP($K$7,'モンスター　一覧'!$B$4:$O$198,14,FALSE)*性格一覧!$G14)*0.01*(VLOOKUP($L$3,ギルド一覧!$B$4:$R$29,11,FALSE)),(VLOOKUP($K$7,'モンスター　一覧'!$B$4:$O$198,14,FALSE)*性格一覧!$G14)*0.01*(VLOOKUP($L$3,ギルド一覧!$B$4:$R$29,17,FALSE)))</f>
        <v>37.800000000000004</v>
      </c>
      <c r="R23" s="205">
        <f t="shared" si="1"/>
        <v>962.99800000000005</v>
      </c>
      <c r="T23" s="64" t="s">
        <v>326</v>
      </c>
      <c r="U23" s="193">
        <f>IF($U$4="通常",(VLOOKUP($T$7,'モンスター　一覧'!$B$4:$O$198,9,FALSE)*性格一覧!$B14)*0.01*(VLOOKUP($U$3,ギルド一覧!$B$4:$R$29,6,FALSE)),(VLOOKUP($T$7,'モンスター　一覧'!$B$4:$O$198,9,FALSE)*性格一覧!$B14)*0.01*(VLOOKUP($U$3,ギルド一覧!$B$4:$R$29,12,FALSE)))</f>
        <v>28.52</v>
      </c>
      <c r="V23" s="193">
        <f>IF($U$4="通常",(VLOOKUP($T$7,'モンスター　一覧'!$B$4:$O$198,10,FALSE)*性格一覧!$C14)*0.01*(VLOOKUP($U$3,ギルド一覧!$B$4:$R$29,7,FALSE)),(VLOOKUP($T$7,'モンスター　一覧'!$B$4:$O$198,10,FALSE)*性格一覧!$C14)*0.01*(VLOOKUP($U$3,ギルド一覧!$B$4:$R$29,13,FALSE)))</f>
        <v>27.69</v>
      </c>
      <c r="W23" s="193">
        <f>IF($U$4="通常",(VLOOKUP($T$7,'モンスター　一覧'!$B$4:$O$198,11,FALSE)*性格一覧!$D14)*0.01*(VLOOKUP($U$3,ギルド一覧!$B$4:$R$29,8,FALSE)),(VLOOKUP($T$7,'モンスター　一覧'!$B$4:$O$198,11,FALSE)*性格一覧!$D14)*0.01*(VLOOKUP($U$3,ギルド一覧!$B$4:$R$29,14,FALSE)))</f>
        <v>31.68</v>
      </c>
      <c r="X23" s="193">
        <f>IF($U$4="通常",(VLOOKUP($T$7,'モンスター　一覧'!$B$4:$O$198,12,FALSE)*性格一覧!$E14)*0.01*(VLOOKUP($U$3,ギルド一覧!$B$4:$R$29,9,FALSE)),(VLOOKUP($T$7,'モンスター　一覧'!$B$4:$O$198,12,FALSE)*性格一覧!$E14)*0.01*(VLOOKUP($U$3,ギルド一覧!$B$4:$R$29,15,FALSE)))</f>
        <v>419.16</v>
      </c>
      <c r="Y23" s="193">
        <f>IF($U$4="通常",(VLOOKUP($T$7,'モンスター　一覧'!$B$4:$O$198,13,FALSE)*性格一覧!$F14)*0.01*(VLOOKUP($U$3,ギルド一覧!$B$4:$R$29,10,FALSE)),(VLOOKUP($T$7,'モンスター　一覧'!$B$4:$O$198,13,FALSE)*性格一覧!$F14)*0.01*(VLOOKUP($U$3,ギルド一覧!$B$4:$R$29,16,FALSE)))</f>
        <v>450.56</v>
      </c>
      <c r="Z23" s="194">
        <f>IF($U$4="通常",(VLOOKUP($T$7,'モンスター　一覧'!$B$4:$O$198,14,FALSE)*性格一覧!$G14)*0.01*(VLOOKUP($U$3,ギルド一覧!$B$4:$R$29,11,FALSE)),(VLOOKUP($T$7,'モンスター　一覧'!$B$4:$O$198,14,FALSE)*性格一覧!$G14)*0.01*(VLOOKUP($U$3,ギルド一覧!$B$4:$R$29,17,FALSE)))</f>
        <v>37.800000000000004</v>
      </c>
      <c r="AA23" s="205">
        <f t="shared" si="2"/>
        <v>995.41</v>
      </c>
      <c r="AC23" s="152" t="s">
        <v>139</v>
      </c>
      <c r="AD23" s="219" t="s">
        <v>862</v>
      </c>
    </row>
    <row r="24" spans="2:30" s="55" customFormat="1" ht="12">
      <c r="B24" s="64" t="s">
        <v>29</v>
      </c>
      <c r="C24" s="193">
        <f>IF($C$4="通常",(VLOOKUP($B$7,'モンスター　一覧'!$B$4:$O$198,9,FALSE)*性格一覧!$B15)*0.01*(VLOOKUP($C$3,ギルド一覧!$B$4:$R$29,6,FALSE)),(VLOOKUP($B$7,'モンスター　一覧'!$B$4:$O$198,9,FALSE)*性格一覧!$B15)*0.01*(VLOOKUP($C$3,ギルド一覧!$B$4:$R$29,12,FALSE)))</f>
        <v>151.84</v>
      </c>
      <c r="D24" s="193">
        <f>IF($C$4="通常",(VLOOKUP($B$7,'モンスター　一覧'!$B$4:$O$198,10,FALSE)*性格一覧!$C15)*0.01*(VLOOKUP($C$3,ギルド一覧!$B$4:$R$29,7,FALSE)),(VLOOKUP($B$7,'モンスター　一覧'!$B$4:$O$198,10,FALSE)*性格一覧!$C15)*0.01*(VLOOKUP($C$3,ギルド一覧!$B$4:$R$29,13,FALSE)))</f>
        <v>51.83</v>
      </c>
      <c r="E24" s="193">
        <f>IF($C$4="通常",(VLOOKUP($B$7,'モンスター　一覧'!$B$4:$O$198,11,FALSE)*性格一覧!$D15)*0.01*(VLOOKUP($C$3,ギルド一覧!$B$4:$R$29,8,FALSE)),(VLOOKUP($B$7,'モンスター　一覧'!$B$4:$O$198,11,FALSE)*性格一覧!$D15)*0.01*(VLOOKUP($C$3,ギルド一覧!$B$4:$R$29,14,FALSE)))</f>
        <v>84.18</v>
      </c>
      <c r="F24" s="193">
        <f>IF($C$4="通常",(VLOOKUP($B$7,'モンスター　一覧'!$B$4:$O$198,12,FALSE)*性格一覧!$E15)*0.01*(VLOOKUP($C$3,ギルド一覧!$B$4:$R$29,9,FALSE)),(VLOOKUP($B$7,'モンスター　一覧'!$B$4:$O$198,12,FALSE)*性格一覧!$E15)*0.01*(VLOOKUP($C$3,ギルド一覧!$B$4:$R$29,15,FALSE)))</f>
        <v>49.2</v>
      </c>
      <c r="G24" s="193">
        <f>IF($C$4="通常",(VLOOKUP($B$7,'モンスター　一覧'!$B$4:$O$198,13,FALSE)*性格一覧!$F15)*0.01*(VLOOKUP($C$3,ギルド一覧!$B$4:$R$29,10,FALSE)),(VLOOKUP($B$7,'モンスター　一覧'!$B$4:$O$198,13,FALSE)*性格一覧!$F15)*0.01*(VLOOKUP($C$3,ギルド一覧!$B$4:$R$29,16,FALSE)))</f>
        <v>87.2</v>
      </c>
      <c r="H24" s="194">
        <f>IF($C$4="通常",(VLOOKUP($B$7,'モンスター　一覧'!$B$4:$O$198,14,FALSE)*性格一覧!$G15)*0.01*(VLOOKUP($C$3,ギルド一覧!$B$4:$R$29,11,FALSE)),(VLOOKUP($B$7,'モンスター　一覧'!$B$4:$O$198,14,FALSE)*性格一覧!$G15)*0.01*(VLOOKUP($C$3,ギルド一覧!$B$4:$R$29,17,FALSE)))</f>
        <v>143.22</v>
      </c>
      <c r="I24" s="205">
        <f t="shared" si="0"/>
        <v>567.47</v>
      </c>
      <c r="J24" s="56"/>
      <c r="K24" s="64" t="s">
        <v>29</v>
      </c>
      <c r="L24" s="193">
        <f>IF($L$4="通常",(VLOOKUP($K$7,'モンスター　一覧'!$B$4:$O$198,9,FALSE)*性格一覧!$B15)*0.01*(VLOOKUP($L$3,ギルド一覧!$B$4:$R$29,6,FALSE)),(VLOOKUP($K$7,'モンスター　一覧'!$B$4:$O$198,9,FALSE)*性格一覧!$B15)*0.01*(VLOOKUP($L$3,ギルド一覧!$B$4:$R$29,12,FALSE)))</f>
        <v>32.24</v>
      </c>
      <c r="M24" s="193">
        <f>IF($L$4="通常",(VLOOKUP($K$7,'モンスター　一覧'!$B$4:$O$198,10,FALSE)*性格一覧!$C15)*0.01*(VLOOKUP($L$3,ギルド一覧!$B$4:$R$29,7,FALSE)),(VLOOKUP($K$7,'モンスター　一覧'!$B$4:$O$198,10,FALSE)*性格一覧!$C15)*0.01*(VLOOKUP($L$3,ギルド一覧!$B$4:$R$29,13,FALSE)))</f>
        <v>27.69</v>
      </c>
      <c r="N24" s="193">
        <f>IF($L$4="通常",(VLOOKUP($K$7,'モンスター　一覧'!$B$4:$O$198,11,FALSE)*性格一覧!$D15)*0.01*(VLOOKUP($L$3,ギルド一覧!$B$4:$R$29,8,FALSE)),(VLOOKUP($K$7,'モンスター　一覧'!$B$4:$O$198,11,FALSE)*性格一覧!$D15)*0.01*(VLOOKUP($L$3,ギルド一覧!$B$4:$R$29,14,FALSE)))</f>
        <v>57.096000000000004</v>
      </c>
      <c r="O24" s="193">
        <f>IF($L$4="通常",(VLOOKUP($K$7,'モンスター　一覧'!$B$4:$O$198,12,FALSE)*性格一覧!$E15)*0.01*(VLOOKUP($L$3,ギルド一覧!$B$4:$R$29,9,FALSE)),(VLOOKUP($K$7,'モンスター　一覧'!$B$4:$O$198,12,FALSE)*性格一覧!$E15)*0.01*(VLOOKUP($L$3,ギルド一覧!$B$4:$R$29,15,FALSE)))</f>
        <v>269.46000000000004</v>
      </c>
      <c r="P24" s="193">
        <f>IF($L$4="通常",(VLOOKUP($K$7,'モンスター　一覧'!$B$4:$O$198,13,FALSE)*性格一覧!$F15)*0.01*(VLOOKUP($L$3,ギルド一覧!$B$4:$R$29,10,FALSE)),(VLOOKUP($K$7,'モンスター　一覧'!$B$4:$O$198,13,FALSE)*性格一覧!$F15)*0.01*(VLOOKUP($L$3,ギルド一覧!$B$4:$R$29,16,FALSE)))</f>
        <v>383.68</v>
      </c>
      <c r="Q24" s="194">
        <f>IF($L$4="通常",(VLOOKUP($K$7,'モンスター　一覧'!$B$4:$O$198,14,FALSE)*性格一覧!$G15)*0.01*(VLOOKUP($L$3,ギルド一覧!$B$4:$R$29,11,FALSE)),(VLOOKUP($K$7,'モンスター　一覧'!$B$4:$O$198,14,FALSE)*性格一覧!$G15)*0.01*(VLOOKUP($L$3,ギルド一覧!$B$4:$R$29,17,FALSE)))</f>
        <v>41.85</v>
      </c>
      <c r="R24" s="205">
        <f t="shared" si="1"/>
        <v>812.01600000000008</v>
      </c>
      <c r="T24" s="64" t="s">
        <v>29</v>
      </c>
      <c r="U24" s="193">
        <f>IF($U$4="通常",(VLOOKUP($T$7,'モンスター　一覧'!$B$4:$O$198,9,FALSE)*性格一覧!$B15)*0.01*(VLOOKUP($U$3,ギルド一覧!$B$4:$R$29,6,FALSE)),(VLOOKUP($T$7,'モンスター　一覧'!$B$4:$O$198,9,FALSE)*性格一覧!$B15)*0.01*(VLOOKUP($U$3,ギルド一覧!$B$4:$R$29,12,FALSE)))</f>
        <v>32.24</v>
      </c>
      <c r="V24" s="193">
        <f>IF($U$4="通常",(VLOOKUP($T$7,'モンスター　一覧'!$B$4:$O$198,10,FALSE)*性格一覧!$C15)*0.01*(VLOOKUP($U$3,ギルド一覧!$B$4:$R$29,7,FALSE)),(VLOOKUP($T$7,'モンスター　一覧'!$B$4:$O$198,10,FALSE)*性格一覧!$C15)*0.01*(VLOOKUP($U$3,ギルド一覧!$B$4:$R$29,13,FALSE)))</f>
        <v>27.69</v>
      </c>
      <c r="W24" s="193">
        <f>IF($U$4="通常",(VLOOKUP($T$7,'モンスター　一覧'!$B$4:$O$198,11,FALSE)*性格一覧!$D15)*0.01*(VLOOKUP($U$3,ギルド一覧!$B$4:$R$29,8,FALSE)),(VLOOKUP($T$7,'モンスター　一覧'!$B$4:$O$198,11,FALSE)*性格一覧!$D15)*0.01*(VLOOKUP($U$3,ギルド一覧!$B$4:$R$29,14,FALSE)))</f>
        <v>43.92</v>
      </c>
      <c r="X24" s="193">
        <f>IF($U$4="通常",(VLOOKUP($T$7,'モンスター　一覧'!$B$4:$O$198,12,FALSE)*性格一覧!$E15)*0.01*(VLOOKUP($U$3,ギルド一覧!$B$4:$R$29,9,FALSE)),(VLOOKUP($T$7,'モンスター　一覧'!$B$4:$O$198,12,FALSE)*性格一覧!$E15)*0.01*(VLOOKUP($U$3,ギルド一覧!$B$4:$R$29,15,FALSE)))</f>
        <v>299.40000000000003</v>
      </c>
      <c r="Y24" s="193">
        <f>IF($U$4="通常",(VLOOKUP($T$7,'モンスター　一覧'!$B$4:$O$198,13,FALSE)*性格一覧!$F15)*0.01*(VLOOKUP($U$3,ギルド一覧!$B$4:$R$29,10,FALSE)),(VLOOKUP($T$7,'モンスター　一覧'!$B$4:$O$198,13,FALSE)*性格一覧!$F15)*0.01*(VLOOKUP($U$3,ギルド一覧!$B$4:$R$29,16,FALSE)))</f>
        <v>383.68</v>
      </c>
      <c r="Z24" s="194">
        <f>IF($U$4="通常",(VLOOKUP($T$7,'モンスター　一覧'!$B$4:$O$198,14,FALSE)*性格一覧!$G15)*0.01*(VLOOKUP($U$3,ギルド一覧!$B$4:$R$29,11,FALSE)),(VLOOKUP($T$7,'モンスター　一覧'!$B$4:$O$198,14,FALSE)*性格一覧!$G15)*0.01*(VLOOKUP($U$3,ギルド一覧!$B$4:$R$29,17,FALSE)))</f>
        <v>41.85</v>
      </c>
      <c r="AA24" s="205">
        <f t="shared" si="2"/>
        <v>828.78000000000009</v>
      </c>
      <c r="AC24" s="152" t="s">
        <v>216</v>
      </c>
      <c r="AD24" s="219" t="s">
        <v>863</v>
      </c>
    </row>
    <row r="25" spans="2:30" s="55" customFormat="1" ht="12">
      <c r="B25" s="64" t="s">
        <v>30</v>
      </c>
      <c r="C25" s="193">
        <f>IF($C$4="通常",(VLOOKUP($B$7,'モンスター　一覧'!$B$4:$O$198,9,FALSE)*性格一覧!$B16)*0.01*(VLOOKUP($C$3,ギルド一覧!$B$4:$R$29,6,FALSE)),(VLOOKUP($B$7,'モンスター　一覧'!$B$4:$O$198,9,FALSE)*性格一覧!$B16)*0.01*(VLOOKUP($C$3,ギルド一覧!$B$4:$R$29,12,FALSE)))</f>
        <v>103.66</v>
      </c>
      <c r="D25" s="193">
        <f>IF($C$4="通常",(VLOOKUP($B$7,'モンスター　一覧'!$B$4:$O$198,10,FALSE)*性格一覧!$C16)*0.01*(VLOOKUP($C$3,ギルド一覧!$B$4:$R$29,7,FALSE)),(VLOOKUP($B$7,'モンスター　一覧'!$B$4:$O$198,10,FALSE)*性格一覧!$C16)*0.01*(VLOOKUP($C$3,ギルド一覧!$B$4:$R$29,13,FALSE)))</f>
        <v>69.350000000000009</v>
      </c>
      <c r="E25" s="193">
        <f>IF($C$4="通常",(VLOOKUP($B$7,'モンスター　一覧'!$B$4:$O$198,11,FALSE)*性格一覧!$D16)*0.01*(VLOOKUP($C$3,ギルド一覧!$B$4:$R$29,8,FALSE)),(VLOOKUP($B$7,'モンスター　一覧'!$B$4:$O$198,11,FALSE)*性格一覧!$D16)*0.01*(VLOOKUP($C$3,ギルド一覧!$B$4:$R$29,14,FALSE)))</f>
        <v>86.25</v>
      </c>
      <c r="F25" s="193">
        <f>IF($C$4="通常",(VLOOKUP($B$7,'モンスター　一覧'!$B$4:$O$198,12,FALSE)*性格一覧!$E16)*0.01*(VLOOKUP($C$3,ギルド一覧!$B$4:$R$29,9,FALSE)),(VLOOKUP($B$7,'モンスター　一覧'!$B$4:$O$198,12,FALSE)*性格一覧!$E16)*0.01*(VLOOKUP($C$3,ギルド一覧!$B$4:$R$29,15,FALSE)))</f>
        <v>67.239999999999995</v>
      </c>
      <c r="G25" s="193">
        <f>IF($C$4="通常",(VLOOKUP($B$7,'モンスター　一覧'!$B$4:$O$198,13,FALSE)*性格一覧!$F16)*0.01*(VLOOKUP($C$3,ギルド一覧!$B$4:$R$29,10,FALSE)),(VLOOKUP($B$7,'モンスター　一覧'!$B$4:$O$198,13,FALSE)*性格一覧!$F16)*0.01*(VLOOKUP($C$3,ギルド一覧!$B$4:$R$29,16,FALSE)))</f>
        <v>84.8</v>
      </c>
      <c r="H25" s="194">
        <f>IF($C$4="通常",(VLOOKUP($B$7,'モンスター　一覧'!$B$4:$O$198,14,FALSE)*性格一覧!$G16)*0.01*(VLOOKUP($C$3,ギルド一覧!$B$4:$R$29,11,FALSE)),(VLOOKUP($B$7,'モンスター　一覧'!$B$4:$O$198,14,FALSE)*性格一覧!$G16)*0.01*(VLOOKUP($C$3,ギルド一覧!$B$4:$R$29,17,FALSE)))</f>
        <v>129.36000000000001</v>
      </c>
      <c r="I25" s="205">
        <f t="shared" si="0"/>
        <v>540.66000000000008</v>
      </c>
      <c r="J25" s="56"/>
      <c r="K25" s="64" t="s">
        <v>30</v>
      </c>
      <c r="L25" s="193">
        <f>IF($L$4="通常",(VLOOKUP($K$7,'モンスター　一覧'!$B$4:$O$198,9,FALSE)*性格一覧!$B16)*0.01*(VLOOKUP($L$3,ギルド一覧!$B$4:$R$29,6,FALSE)),(VLOOKUP($K$7,'モンスター　一覧'!$B$4:$O$198,9,FALSE)*性格一覧!$B16)*0.01*(VLOOKUP($L$3,ギルド一覧!$B$4:$R$29,12,FALSE)))</f>
        <v>22.01</v>
      </c>
      <c r="M25" s="193">
        <f>IF($L$4="通常",(VLOOKUP($K$7,'モンスター　一覧'!$B$4:$O$198,10,FALSE)*性格一覧!$C16)*0.01*(VLOOKUP($L$3,ギルド一覧!$B$4:$R$29,7,FALSE)),(VLOOKUP($K$7,'モンスター　一覧'!$B$4:$O$198,10,FALSE)*性格一覧!$C16)*0.01*(VLOOKUP($L$3,ギルド一覧!$B$4:$R$29,13,FALSE)))</f>
        <v>37.050000000000004</v>
      </c>
      <c r="N25" s="193">
        <f>IF($L$4="通常",(VLOOKUP($K$7,'モンスター　一覧'!$B$4:$O$198,11,FALSE)*性格一覧!$D16)*0.01*(VLOOKUP($L$3,ギルド一覧!$B$4:$R$29,8,FALSE)),(VLOOKUP($K$7,'モンスター　一覧'!$B$4:$O$198,11,FALSE)*性格一覧!$D16)*0.01*(VLOOKUP($L$3,ギルド一覧!$B$4:$R$29,14,FALSE)))</f>
        <v>58.5</v>
      </c>
      <c r="O25" s="193">
        <f>IF($L$4="通常",(VLOOKUP($K$7,'モンスター　一覧'!$B$4:$O$198,12,FALSE)*性格一覧!$E16)*0.01*(VLOOKUP($L$3,ギルド一覧!$B$4:$R$29,9,FALSE)),(VLOOKUP($K$7,'モンスター　一覧'!$B$4:$O$198,12,FALSE)*性格一覧!$E16)*0.01*(VLOOKUP($L$3,ギルド一覧!$B$4:$R$29,15,FALSE)))</f>
        <v>368.262</v>
      </c>
      <c r="P25" s="193">
        <f>IF($L$4="通常",(VLOOKUP($K$7,'モンスター　一覧'!$B$4:$O$198,13,FALSE)*性格一覧!$F16)*0.01*(VLOOKUP($L$3,ギルド一覧!$B$4:$R$29,10,FALSE)),(VLOOKUP($K$7,'モンスター　一覧'!$B$4:$O$198,13,FALSE)*性格一覧!$F16)*0.01*(VLOOKUP($L$3,ギルド一覧!$B$4:$R$29,16,FALSE)))</f>
        <v>373.12</v>
      </c>
      <c r="Q25" s="194">
        <f>IF($L$4="通常",(VLOOKUP($K$7,'モンスター　一覧'!$B$4:$O$198,14,FALSE)*性格一覧!$G16)*0.01*(VLOOKUP($L$3,ギルド一覧!$B$4:$R$29,11,FALSE)),(VLOOKUP($K$7,'モンスター　一覧'!$B$4:$O$198,14,FALSE)*性格一覧!$G16)*0.01*(VLOOKUP($L$3,ギルド一覧!$B$4:$R$29,17,FALSE)))</f>
        <v>37.800000000000004</v>
      </c>
      <c r="R25" s="205">
        <f t="shared" si="1"/>
        <v>896.74199999999996</v>
      </c>
      <c r="T25" s="64" t="s">
        <v>30</v>
      </c>
      <c r="U25" s="193">
        <f>IF($U$4="通常",(VLOOKUP($T$7,'モンスター　一覧'!$B$4:$O$198,9,FALSE)*性格一覧!$B16)*0.01*(VLOOKUP($U$3,ギルド一覧!$B$4:$R$29,6,FALSE)),(VLOOKUP($T$7,'モンスター　一覧'!$B$4:$O$198,9,FALSE)*性格一覧!$B16)*0.01*(VLOOKUP($U$3,ギルド一覧!$B$4:$R$29,12,FALSE)))</f>
        <v>22.01</v>
      </c>
      <c r="V25" s="193">
        <f>IF($U$4="通常",(VLOOKUP($T$7,'モンスター　一覧'!$B$4:$O$198,10,FALSE)*性格一覧!$C16)*0.01*(VLOOKUP($U$3,ギルド一覧!$B$4:$R$29,7,FALSE)),(VLOOKUP($T$7,'モンスター　一覧'!$B$4:$O$198,10,FALSE)*性格一覧!$C16)*0.01*(VLOOKUP($U$3,ギルド一覧!$B$4:$R$29,13,FALSE)))</f>
        <v>37.050000000000004</v>
      </c>
      <c r="W25" s="193">
        <f>IF($U$4="通常",(VLOOKUP($T$7,'モンスター　一覧'!$B$4:$O$198,11,FALSE)*性格一覧!$D16)*0.01*(VLOOKUP($U$3,ギルド一覧!$B$4:$R$29,8,FALSE)),(VLOOKUP($T$7,'モンスター　一覧'!$B$4:$O$198,11,FALSE)*性格一覧!$D16)*0.01*(VLOOKUP($U$3,ギルド一覧!$B$4:$R$29,14,FALSE)))</f>
        <v>45</v>
      </c>
      <c r="X25" s="193">
        <f>IF($U$4="通常",(VLOOKUP($T$7,'モンスター　一覧'!$B$4:$O$198,12,FALSE)*性格一覧!$E16)*0.01*(VLOOKUP($U$3,ギルド一覧!$B$4:$R$29,9,FALSE)),(VLOOKUP($T$7,'モンスター　一覧'!$B$4:$O$198,12,FALSE)*性格一覧!$E16)*0.01*(VLOOKUP($U$3,ギルド一覧!$B$4:$R$29,15,FALSE)))</f>
        <v>409.18</v>
      </c>
      <c r="Y25" s="193">
        <f>IF($U$4="通常",(VLOOKUP($T$7,'モンスター　一覧'!$B$4:$O$198,13,FALSE)*性格一覧!$F16)*0.01*(VLOOKUP($U$3,ギルド一覧!$B$4:$R$29,10,FALSE)),(VLOOKUP($T$7,'モンスター　一覧'!$B$4:$O$198,13,FALSE)*性格一覧!$F16)*0.01*(VLOOKUP($U$3,ギルド一覧!$B$4:$R$29,16,FALSE)))</f>
        <v>373.12</v>
      </c>
      <c r="Z25" s="194">
        <f>IF($U$4="通常",(VLOOKUP($T$7,'モンスター　一覧'!$B$4:$O$198,14,FALSE)*性格一覧!$G16)*0.01*(VLOOKUP($U$3,ギルド一覧!$B$4:$R$29,11,FALSE)),(VLOOKUP($T$7,'モンスター　一覧'!$B$4:$O$198,14,FALSE)*性格一覧!$G16)*0.01*(VLOOKUP($U$3,ギルド一覧!$B$4:$R$29,17,FALSE)))</f>
        <v>37.800000000000004</v>
      </c>
      <c r="AA25" s="205">
        <f t="shared" si="2"/>
        <v>924.16</v>
      </c>
      <c r="AC25" s="152" t="s">
        <v>138</v>
      </c>
      <c r="AD25" s="219" t="s">
        <v>864</v>
      </c>
    </row>
    <row r="26" spans="2:30" s="55" customFormat="1" ht="12">
      <c r="B26" s="64" t="s">
        <v>31</v>
      </c>
      <c r="C26" s="193">
        <f>IF($C$4="通常",(VLOOKUP($B$7,'モンスター　一覧'!$B$4:$O$198,9,FALSE)*性格一覧!$B17)*0.01*(VLOOKUP($C$3,ギルド一覧!$B$4:$R$29,6,FALSE)),(VLOOKUP($B$7,'モンスター　一覧'!$B$4:$O$198,9,FALSE)*性格一覧!$B17)*0.01*(VLOOKUP($C$3,ギルド一覧!$B$4:$R$29,12,FALSE)))</f>
        <v>159.14000000000001</v>
      </c>
      <c r="D26" s="193">
        <f>IF($C$4="通常",(VLOOKUP($B$7,'モンスター　一覧'!$B$4:$O$198,10,FALSE)*性格一覧!$C17)*0.01*(VLOOKUP($C$3,ギルド一覧!$B$4:$R$29,7,FALSE)),(VLOOKUP($B$7,'モンスター　一覧'!$B$4:$O$198,10,FALSE)*性格一覧!$C17)*0.01*(VLOOKUP($C$3,ギルド一覧!$B$4:$R$29,13,FALSE)))</f>
        <v>61.32</v>
      </c>
      <c r="E26" s="193">
        <f>IF($C$4="通常",(VLOOKUP($B$7,'モンスター　一覧'!$B$4:$O$198,11,FALSE)*性格一覧!$D17)*0.01*(VLOOKUP($C$3,ギルド一覧!$B$4:$R$29,8,FALSE)),(VLOOKUP($B$7,'モンスター　一覧'!$B$4:$O$198,11,FALSE)*性格一覧!$D17)*0.01*(VLOOKUP($C$3,ギルド一覧!$B$4:$R$29,14,FALSE)))</f>
        <v>77.28</v>
      </c>
      <c r="F26" s="193">
        <f>IF($C$4="通常",(VLOOKUP($B$7,'モンスター　一覧'!$B$4:$O$198,12,FALSE)*性格一覧!$E17)*0.01*(VLOOKUP($C$3,ギルド一覧!$B$4:$R$29,9,FALSE)),(VLOOKUP($B$7,'モンスター　一覧'!$B$4:$O$198,12,FALSE)*性格一覧!$E17)*0.01*(VLOOKUP($C$3,ギルド一覧!$B$4:$R$29,15,FALSE)))</f>
        <v>102.5</v>
      </c>
      <c r="G26" s="193">
        <f>IF($C$4="通常",(VLOOKUP($B$7,'モンスター　一覧'!$B$4:$O$198,13,FALSE)*性格一覧!$F17)*0.01*(VLOOKUP($C$3,ギルド一覧!$B$4:$R$29,10,FALSE)),(VLOOKUP($B$7,'モンスター　一覧'!$B$4:$O$198,13,FALSE)*性格一覧!$F17)*0.01*(VLOOKUP($C$3,ギルド一覧!$B$4:$R$29,16,FALSE)))</f>
        <v>42.4</v>
      </c>
      <c r="H26" s="194">
        <f>IF($C$4="通常",(VLOOKUP($B$7,'モンスター　一覧'!$B$4:$O$198,14,FALSE)*性格一覧!$G17)*0.01*(VLOOKUP($C$3,ギルド一覧!$B$4:$R$29,11,FALSE)),(VLOOKUP($B$7,'モンスター　一覧'!$B$4:$O$198,14,FALSE)*性格一覧!$G17)*0.01*(VLOOKUP($C$3,ギルド一覧!$B$4:$R$29,17,FALSE)))</f>
        <v>81.62</v>
      </c>
      <c r="I26" s="205">
        <f t="shared" si="0"/>
        <v>524.26</v>
      </c>
      <c r="J26" s="56"/>
      <c r="K26" s="64" t="s">
        <v>31</v>
      </c>
      <c r="L26" s="193">
        <f>IF($L$4="通常",(VLOOKUP($K$7,'モンスター　一覧'!$B$4:$O$198,9,FALSE)*性格一覧!$B17)*0.01*(VLOOKUP($L$3,ギルド一覧!$B$4:$R$29,6,FALSE)),(VLOOKUP($K$7,'モンスター　一覧'!$B$4:$O$198,9,FALSE)*性格一覧!$B17)*0.01*(VLOOKUP($L$3,ギルド一覧!$B$4:$R$29,12,FALSE)))</f>
        <v>33.79</v>
      </c>
      <c r="M26" s="193">
        <f>IF($L$4="通常",(VLOOKUP($K$7,'モンスター　一覧'!$B$4:$O$198,10,FALSE)*性格一覧!$C17)*0.01*(VLOOKUP($L$3,ギルド一覧!$B$4:$R$29,7,FALSE)),(VLOOKUP($K$7,'モンスター　一覧'!$B$4:$O$198,10,FALSE)*性格一覧!$C17)*0.01*(VLOOKUP($L$3,ギルド一覧!$B$4:$R$29,13,FALSE)))</f>
        <v>32.76</v>
      </c>
      <c r="N26" s="193">
        <f>IF($L$4="通常",(VLOOKUP($K$7,'モンスター　一覧'!$B$4:$O$198,11,FALSE)*性格一覧!$D17)*0.01*(VLOOKUP($L$3,ギルド一覧!$B$4:$R$29,8,FALSE)),(VLOOKUP($K$7,'モンスター　一覧'!$B$4:$O$198,11,FALSE)*性格一覧!$D17)*0.01*(VLOOKUP($L$3,ギルド一覧!$B$4:$R$29,14,FALSE)))</f>
        <v>52.416000000000004</v>
      </c>
      <c r="O26" s="193">
        <f>IF($L$4="通常",(VLOOKUP($K$7,'モンスター　一覧'!$B$4:$O$198,12,FALSE)*性格一覧!$E17)*0.01*(VLOOKUP($L$3,ギルド一覧!$B$4:$R$29,9,FALSE)),(VLOOKUP($K$7,'モンスター　一覧'!$B$4:$O$198,12,FALSE)*性格一覧!$E17)*0.01*(VLOOKUP($L$3,ギルド一覧!$B$4:$R$29,15,FALSE)))</f>
        <v>561.375</v>
      </c>
      <c r="P26" s="193">
        <f>IF($L$4="通常",(VLOOKUP($K$7,'モンスター　一覧'!$B$4:$O$198,13,FALSE)*性格一覧!$F17)*0.01*(VLOOKUP($L$3,ギルド一覧!$B$4:$R$29,10,FALSE)),(VLOOKUP($K$7,'モンスター　一覧'!$B$4:$O$198,13,FALSE)*性格一覧!$F17)*0.01*(VLOOKUP($L$3,ギルド一覧!$B$4:$R$29,16,FALSE)))</f>
        <v>186.56</v>
      </c>
      <c r="Q26" s="194">
        <f>IF($L$4="通常",(VLOOKUP($K$7,'モンスター　一覧'!$B$4:$O$198,14,FALSE)*性格一覧!$G17)*0.01*(VLOOKUP($L$3,ギルド一覧!$B$4:$R$29,11,FALSE)),(VLOOKUP($K$7,'モンスター　一覧'!$B$4:$O$198,14,FALSE)*性格一覧!$G17)*0.01*(VLOOKUP($L$3,ギルド一覧!$B$4:$R$29,17,FALSE)))</f>
        <v>23.85</v>
      </c>
      <c r="R26" s="205">
        <f t="shared" si="1"/>
        <v>890.75100000000009</v>
      </c>
      <c r="T26" s="64" t="s">
        <v>31</v>
      </c>
      <c r="U26" s="193">
        <f>IF($U$4="通常",(VLOOKUP($T$7,'モンスター　一覧'!$B$4:$O$198,9,FALSE)*性格一覧!$B17)*0.01*(VLOOKUP($U$3,ギルド一覧!$B$4:$R$29,6,FALSE)),(VLOOKUP($T$7,'モンスター　一覧'!$B$4:$O$198,9,FALSE)*性格一覧!$B17)*0.01*(VLOOKUP($U$3,ギルド一覧!$B$4:$R$29,12,FALSE)))</f>
        <v>33.79</v>
      </c>
      <c r="V26" s="193">
        <f>IF($U$4="通常",(VLOOKUP($T$7,'モンスター　一覧'!$B$4:$O$198,10,FALSE)*性格一覧!$C17)*0.01*(VLOOKUP($U$3,ギルド一覧!$B$4:$R$29,7,FALSE)),(VLOOKUP($T$7,'モンスター　一覧'!$B$4:$O$198,10,FALSE)*性格一覧!$C17)*0.01*(VLOOKUP($U$3,ギルド一覧!$B$4:$R$29,13,FALSE)))</f>
        <v>32.76</v>
      </c>
      <c r="W26" s="193">
        <f>IF($U$4="通常",(VLOOKUP($T$7,'モンスター　一覧'!$B$4:$O$198,11,FALSE)*性格一覧!$D17)*0.01*(VLOOKUP($U$3,ギルド一覧!$B$4:$R$29,8,FALSE)),(VLOOKUP($T$7,'モンスター　一覧'!$B$4:$O$198,11,FALSE)*性格一覧!$D17)*0.01*(VLOOKUP($U$3,ギルド一覧!$B$4:$R$29,14,FALSE)))</f>
        <v>40.32</v>
      </c>
      <c r="X26" s="193">
        <f>IF($U$4="通常",(VLOOKUP($T$7,'モンスター　一覧'!$B$4:$O$198,12,FALSE)*性格一覧!$E17)*0.01*(VLOOKUP($U$3,ギルド一覧!$B$4:$R$29,9,FALSE)),(VLOOKUP($T$7,'モンスター　一覧'!$B$4:$O$198,12,FALSE)*性格一覧!$E17)*0.01*(VLOOKUP($U$3,ギルド一覧!$B$4:$R$29,15,FALSE)))</f>
        <v>623.75</v>
      </c>
      <c r="Y26" s="193">
        <f>IF($U$4="通常",(VLOOKUP($T$7,'モンスター　一覧'!$B$4:$O$198,13,FALSE)*性格一覧!$F17)*0.01*(VLOOKUP($U$3,ギルド一覧!$B$4:$R$29,10,FALSE)),(VLOOKUP($T$7,'モンスター　一覧'!$B$4:$O$198,13,FALSE)*性格一覧!$F17)*0.01*(VLOOKUP($U$3,ギルド一覧!$B$4:$R$29,16,FALSE)))</f>
        <v>186.56</v>
      </c>
      <c r="Z26" s="194">
        <f>IF($U$4="通常",(VLOOKUP($T$7,'モンスター　一覧'!$B$4:$O$198,14,FALSE)*性格一覧!$G17)*0.01*(VLOOKUP($U$3,ギルド一覧!$B$4:$R$29,11,FALSE)),(VLOOKUP($T$7,'モンスター　一覧'!$B$4:$O$198,14,FALSE)*性格一覧!$G17)*0.01*(VLOOKUP($U$3,ギルド一覧!$B$4:$R$29,17,FALSE)))</f>
        <v>23.85</v>
      </c>
      <c r="AA26" s="205">
        <f t="shared" si="2"/>
        <v>941.03000000000009</v>
      </c>
      <c r="AC26" s="152" t="s">
        <v>99</v>
      </c>
      <c r="AD26" s="219" t="s">
        <v>876</v>
      </c>
    </row>
    <row r="27" spans="2:30" s="55" customFormat="1" ht="12">
      <c r="B27" s="64" t="s">
        <v>32</v>
      </c>
      <c r="C27" s="193">
        <f>IF($C$4="通常",(VLOOKUP($B$7,'モンスター　一覧'!$B$4:$O$198,9,FALSE)*性格一覧!$B18)*0.01*(VLOOKUP($C$3,ギルド一覧!$B$4:$R$29,6,FALSE)),(VLOOKUP($B$7,'モンスター　一覧'!$B$4:$O$198,9,FALSE)*性格一覧!$B18)*0.01*(VLOOKUP($C$3,ギルド一覧!$B$4:$R$29,12,FALSE)))</f>
        <v>170.82</v>
      </c>
      <c r="D27" s="193">
        <f>IF($C$4="通常",(VLOOKUP($B$7,'モンスター　一覧'!$B$4:$O$198,10,FALSE)*性格一覧!$C18)*0.01*(VLOOKUP($C$3,ギルド一覧!$B$4:$R$29,7,FALSE)),(VLOOKUP($B$7,'モンスター　一覧'!$B$4:$O$198,10,FALSE)*性格一覧!$C18)*0.01*(VLOOKUP($C$3,ギルド一覧!$B$4:$R$29,13,FALSE)))</f>
        <v>70.08</v>
      </c>
      <c r="E27" s="193">
        <f>IF($C$4="通常",(VLOOKUP($B$7,'モンスター　一覧'!$B$4:$O$198,11,FALSE)*性格一覧!$D18)*0.01*(VLOOKUP($C$3,ギルド一覧!$B$4:$R$29,8,FALSE)),(VLOOKUP($B$7,'モンスター　一覧'!$B$4:$O$198,11,FALSE)*性格一覧!$D18)*0.01*(VLOOKUP($C$3,ギルド一覧!$B$4:$R$29,14,FALSE)))</f>
        <v>71.760000000000005</v>
      </c>
      <c r="F27" s="193">
        <f>IF($C$4="通常",(VLOOKUP($B$7,'モンスター　一覧'!$B$4:$O$198,12,FALSE)*性格一覧!$E18)*0.01*(VLOOKUP($C$3,ギルド一覧!$B$4:$R$29,9,FALSE)),(VLOOKUP($B$7,'モンスター　一覧'!$B$4:$O$198,12,FALSE)*性格一覧!$E18)*0.01*(VLOOKUP($C$3,ギルド一覧!$B$4:$R$29,15,FALSE)))</f>
        <v>91.84</v>
      </c>
      <c r="G27" s="193">
        <f>IF($C$4="通常",(VLOOKUP($B$7,'モンスター　一覧'!$B$4:$O$198,13,FALSE)*性格一覧!$F18)*0.01*(VLOOKUP($C$3,ギルド一覧!$B$4:$R$29,10,FALSE)),(VLOOKUP($B$7,'モンスター　一覧'!$B$4:$O$198,13,FALSE)*性格一覧!$F18)*0.01*(VLOOKUP($C$3,ギルド一覧!$B$4:$R$29,16,FALSE)))</f>
        <v>74.400000000000006</v>
      </c>
      <c r="H27" s="194">
        <f>IF($C$4="通常",(VLOOKUP($B$7,'モンスター　一覧'!$B$4:$O$198,14,FALSE)*性格一覧!$G18)*0.01*(VLOOKUP($C$3,ギルド一覧!$B$4:$R$29,11,FALSE)),(VLOOKUP($B$7,'モンスター　一覧'!$B$4:$O$198,14,FALSE)*性格一覧!$G18)*0.01*(VLOOKUP($C$3,ギルド一覧!$B$4:$R$29,17,FALSE)))</f>
        <v>118.58</v>
      </c>
      <c r="I27" s="205">
        <f t="shared" si="0"/>
        <v>597.48</v>
      </c>
      <c r="J27" s="56"/>
      <c r="K27" s="64" t="s">
        <v>32</v>
      </c>
      <c r="L27" s="193">
        <f>IF($L$4="通常",(VLOOKUP($K$7,'モンスター　一覧'!$B$4:$O$198,9,FALSE)*性格一覧!$B18)*0.01*(VLOOKUP($L$3,ギルド一覧!$B$4:$R$29,6,FALSE)),(VLOOKUP($K$7,'モンスター　一覧'!$B$4:$O$198,9,FALSE)*性格一覧!$B18)*0.01*(VLOOKUP($L$3,ギルド一覧!$B$4:$R$29,12,FALSE)))</f>
        <v>36.270000000000003</v>
      </c>
      <c r="M27" s="193">
        <f>IF($L$4="通常",(VLOOKUP($K$7,'モンスター　一覧'!$B$4:$O$198,10,FALSE)*性格一覧!$C18)*0.01*(VLOOKUP($L$3,ギルド一覧!$B$4:$R$29,7,FALSE)),(VLOOKUP($K$7,'モンスター　一覧'!$B$4:$O$198,10,FALSE)*性格一覧!$C18)*0.01*(VLOOKUP($L$3,ギルド一覧!$B$4:$R$29,13,FALSE)))</f>
        <v>37.44</v>
      </c>
      <c r="N27" s="193">
        <f>IF($L$4="通常",(VLOOKUP($K$7,'モンスター　一覧'!$B$4:$O$198,11,FALSE)*性格一覧!$D18)*0.01*(VLOOKUP($L$3,ギルド一覧!$B$4:$R$29,8,FALSE)),(VLOOKUP($K$7,'モンスター　一覧'!$B$4:$O$198,11,FALSE)*性格一覧!$D18)*0.01*(VLOOKUP($L$3,ギルド一覧!$B$4:$R$29,14,FALSE)))</f>
        <v>48.671999999999997</v>
      </c>
      <c r="O27" s="193">
        <f>IF($L$4="通常",(VLOOKUP($K$7,'モンスター　一覧'!$B$4:$O$198,12,FALSE)*性格一覧!$E18)*0.01*(VLOOKUP($L$3,ギルド一覧!$B$4:$R$29,9,FALSE)),(VLOOKUP($K$7,'モンスター　一覧'!$B$4:$O$198,12,FALSE)*性格一覧!$E18)*0.01*(VLOOKUP($L$3,ギルド一覧!$B$4:$R$29,15,FALSE)))</f>
        <v>502.99200000000002</v>
      </c>
      <c r="P27" s="193">
        <f>IF($L$4="通常",(VLOOKUP($K$7,'モンスター　一覧'!$B$4:$O$198,13,FALSE)*性格一覧!$F18)*0.01*(VLOOKUP($L$3,ギルド一覧!$B$4:$R$29,10,FALSE)),(VLOOKUP($K$7,'モンスター　一覧'!$B$4:$O$198,13,FALSE)*性格一覧!$F18)*0.01*(VLOOKUP($L$3,ギルド一覧!$B$4:$R$29,16,FALSE)))</f>
        <v>327.36</v>
      </c>
      <c r="Q27" s="194">
        <f>IF($L$4="通常",(VLOOKUP($K$7,'モンスター　一覧'!$B$4:$O$198,14,FALSE)*性格一覧!$G18)*0.01*(VLOOKUP($L$3,ギルド一覧!$B$4:$R$29,11,FALSE)),(VLOOKUP($K$7,'モンスター　一覧'!$B$4:$O$198,14,FALSE)*性格一覧!$G18)*0.01*(VLOOKUP($L$3,ギルド一覧!$B$4:$R$29,17,FALSE)))</f>
        <v>34.65</v>
      </c>
      <c r="R27" s="205">
        <f t="shared" si="1"/>
        <v>987.38400000000001</v>
      </c>
      <c r="T27" s="64" t="s">
        <v>32</v>
      </c>
      <c r="U27" s="193">
        <f>IF($U$4="通常",(VLOOKUP($T$7,'モンスター　一覧'!$B$4:$O$198,9,FALSE)*性格一覧!$B18)*0.01*(VLOOKUP($U$3,ギルド一覧!$B$4:$R$29,6,FALSE)),(VLOOKUP($T$7,'モンスター　一覧'!$B$4:$O$198,9,FALSE)*性格一覧!$B18)*0.01*(VLOOKUP($U$3,ギルド一覧!$B$4:$R$29,12,FALSE)))</f>
        <v>36.270000000000003</v>
      </c>
      <c r="V27" s="193">
        <f>IF($U$4="通常",(VLOOKUP($T$7,'モンスター　一覧'!$B$4:$O$198,10,FALSE)*性格一覧!$C18)*0.01*(VLOOKUP($U$3,ギルド一覧!$B$4:$R$29,7,FALSE)),(VLOOKUP($T$7,'モンスター　一覧'!$B$4:$O$198,10,FALSE)*性格一覧!$C18)*0.01*(VLOOKUP($U$3,ギルド一覧!$B$4:$R$29,13,FALSE)))</f>
        <v>37.44</v>
      </c>
      <c r="W27" s="193">
        <f>IF($U$4="通常",(VLOOKUP($T$7,'モンスター　一覧'!$B$4:$O$198,11,FALSE)*性格一覧!$D18)*0.01*(VLOOKUP($U$3,ギルド一覧!$B$4:$R$29,8,FALSE)),(VLOOKUP($T$7,'モンスター　一覧'!$B$4:$O$198,11,FALSE)*性格一覧!$D18)*0.01*(VLOOKUP($U$3,ギルド一覧!$B$4:$R$29,14,FALSE)))</f>
        <v>37.44</v>
      </c>
      <c r="X27" s="193">
        <f>IF($U$4="通常",(VLOOKUP($T$7,'モンスター　一覧'!$B$4:$O$198,12,FALSE)*性格一覧!$E18)*0.01*(VLOOKUP($U$3,ギルド一覧!$B$4:$R$29,9,FALSE)),(VLOOKUP($T$7,'モンスター　一覧'!$B$4:$O$198,12,FALSE)*性格一覧!$E18)*0.01*(VLOOKUP($U$3,ギルド一覧!$B$4:$R$29,15,FALSE)))</f>
        <v>558.88</v>
      </c>
      <c r="Y27" s="193">
        <f>IF($U$4="通常",(VLOOKUP($T$7,'モンスター　一覧'!$B$4:$O$198,13,FALSE)*性格一覧!$F18)*0.01*(VLOOKUP($U$3,ギルド一覧!$B$4:$R$29,10,FALSE)),(VLOOKUP($T$7,'モンスター　一覧'!$B$4:$O$198,13,FALSE)*性格一覧!$F18)*0.01*(VLOOKUP($U$3,ギルド一覧!$B$4:$R$29,16,FALSE)))</f>
        <v>327.36</v>
      </c>
      <c r="Z27" s="194">
        <f>IF($U$4="通常",(VLOOKUP($T$7,'モンスター　一覧'!$B$4:$O$198,14,FALSE)*性格一覧!$G18)*0.01*(VLOOKUP($U$3,ギルド一覧!$B$4:$R$29,11,FALSE)),(VLOOKUP($T$7,'モンスター　一覧'!$B$4:$O$198,14,FALSE)*性格一覧!$G18)*0.01*(VLOOKUP($U$3,ギルド一覧!$B$4:$R$29,17,FALSE)))</f>
        <v>34.65</v>
      </c>
      <c r="AA27" s="205">
        <f t="shared" si="2"/>
        <v>1032.04</v>
      </c>
      <c r="AC27" s="152" t="s">
        <v>101</v>
      </c>
      <c r="AD27" s="219" t="s">
        <v>877</v>
      </c>
    </row>
    <row r="28" spans="2:30" s="55" customFormat="1" ht="12">
      <c r="B28" s="64" t="s">
        <v>33</v>
      </c>
      <c r="C28" s="193">
        <f>IF($C$4="通常",(VLOOKUP($B$7,'モンスター　一覧'!$B$4:$O$198,9,FALSE)*性格一覧!$B19)*0.01*(VLOOKUP($C$3,ギルド一覧!$B$4:$R$29,6,FALSE)),(VLOOKUP($B$7,'モンスター　一覧'!$B$4:$O$198,9,FALSE)*性格一覧!$B19)*0.01*(VLOOKUP($C$3,ギルド一覧!$B$4:$R$29,12,FALSE)))</f>
        <v>124.10000000000001</v>
      </c>
      <c r="D28" s="193">
        <f>IF($C$4="通常",(VLOOKUP($B$7,'モンスター　一覧'!$B$4:$O$198,10,FALSE)*性格一覧!$C19)*0.01*(VLOOKUP($C$3,ギルド一覧!$B$4:$R$29,7,FALSE)),(VLOOKUP($B$7,'モンスター　一覧'!$B$4:$O$198,10,FALSE)*性格一覧!$C19)*0.01*(VLOOKUP($C$3,ギルド一覧!$B$4:$R$29,13,FALSE)))</f>
        <v>51.83</v>
      </c>
      <c r="E28" s="193">
        <f>IF($C$4="通常",(VLOOKUP($B$7,'モンスター　一覧'!$B$4:$O$198,11,FALSE)*性格一覧!$D19)*0.01*(VLOOKUP($C$3,ギルド一覧!$B$4:$R$29,8,FALSE)),(VLOOKUP($B$7,'モンスター　一覧'!$B$4:$O$198,11,FALSE)*性格一覧!$D19)*0.01*(VLOOKUP($C$3,ギルド一覧!$B$4:$R$29,14,FALSE)))</f>
        <v>77.28</v>
      </c>
      <c r="F28" s="193">
        <f>IF($C$4="通常",(VLOOKUP($B$7,'モンスター　一覧'!$B$4:$O$198,12,FALSE)*性格一覧!$E19)*0.01*(VLOOKUP($C$3,ギルド一覧!$B$4:$R$29,9,FALSE)),(VLOOKUP($B$7,'モンスター　一覧'!$B$4:$O$198,12,FALSE)*性格一覧!$E19)*0.01*(VLOOKUP($C$3,ギルド一覧!$B$4:$R$29,15,FALSE)))</f>
        <v>74.62</v>
      </c>
      <c r="G28" s="193">
        <f>IF($C$4="通常",(VLOOKUP($B$7,'モンスター　一覧'!$B$4:$O$198,13,FALSE)*性格一覧!$F19)*0.01*(VLOOKUP($C$3,ギルド一覧!$B$4:$R$29,10,FALSE)),(VLOOKUP($B$7,'モンスター　一覧'!$B$4:$O$198,13,FALSE)*性格一覧!$F19)*0.01*(VLOOKUP($C$3,ギルド一覧!$B$4:$R$29,16,FALSE)))</f>
        <v>72</v>
      </c>
      <c r="H28" s="194">
        <f>IF($C$4="通常",(VLOOKUP($B$7,'モンスター　一覧'!$B$4:$O$198,14,FALSE)*性格一覧!$G19)*0.01*(VLOOKUP($C$3,ギルド一覧!$B$4:$R$29,11,FALSE)),(VLOOKUP($B$7,'モンスター　一覧'!$B$4:$O$198,14,FALSE)*性格一覧!$G19)*0.01*(VLOOKUP($C$3,ギルド一覧!$B$4:$R$29,17,FALSE)))</f>
        <v>201.74</v>
      </c>
      <c r="I28" s="205">
        <f t="shared" si="0"/>
        <v>601.57000000000005</v>
      </c>
      <c r="J28" s="56"/>
      <c r="K28" s="64" t="s">
        <v>33</v>
      </c>
      <c r="L28" s="193">
        <f>IF($L$4="通常",(VLOOKUP($K$7,'モンスター　一覧'!$B$4:$O$198,9,FALSE)*性格一覧!$B19)*0.01*(VLOOKUP($L$3,ギルド一覧!$B$4:$R$29,6,FALSE)),(VLOOKUP($K$7,'モンスター　一覧'!$B$4:$O$198,9,FALSE)*性格一覧!$B19)*0.01*(VLOOKUP($L$3,ギルド一覧!$B$4:$R$29,12,FALSE)))</f>
        <v>26.35</v>
      </c>
      <c r="M28" s="193">
        <f>IF($L$4="通常",(VLOOKUP($K$7,'モンスター　一覧'!$B$4:$O$198,10,FALSE)*性格一覧!$C19)*0.01*(VLOOKUP($L$3,ギルド一覧!$B$4:$R$29,7,FALSE)),(VLOOKUP($K$7,'モンスター　一覧'!$B$4:$O$198,10,FALSE)*性格一覧!$C19)*0.01*(VLOOKUP($L$3,ギルド一覧!$B$4:$R$29,13,FALSE)))</f>
        <v>27.69</v>
      </c>
      <c r="N28" s="193">
        <f>IF($L$4="通常",(VLOOKUP($K$7,'モンスター　一覧'!$B$4:$O$198,11,FALSE)*性格一覧!$D19)*0.01*(VLOOKUP($L$3,ギルド一覧!$B$4:$R$29,8,FALSE)),(VLOOKUP($K$7,'モンスター　一覧'!$B$4:$O$198,11,FALSE)*性格一覧!$D19)*0.01*(VLOOKUP($L$3,ギルド一覧!$B$4:$R$29,14,FALSE)))</f>
        <v>52.416000000000004</v>
      </c>
      <c r="O28" s="193">
        <f>IF($L$4="通常",(VLOOKUP($K$7,'モンスター　一覧'!$B$4:$O$198,12,FALSE)*性格一覧!$E19)*0.01*(VLOOKUP($L$3,ギルド一覧!$B$4:$R$29,9,FALSE)),(VLOOKUP($K$7,'モンスター　一覧'!$B$4:$O$198,12,FALSE)*性格一覧!$E19)*0.01*(VLOOKUP($L$3,ギルド一覧!$B$4:$R$29,15,FALSE)))</f>
        <v>408.68100000000004</v>
      </c>
      <c r="P28" s="193">
        <f>IF($L$4="通常",(VLOOKUP($K$7,'モンスター　一覧'!$B$4:$O$198,13,FALSE)*性格一覧!$F19)*0.01*(VLOOKUP($L$3,ギルド一覧!$B$4:$R$29,10,FALSE)),(VLOOKUP($K$7,'モンスター　一覧'!$B$4:$O$198,13,FALSE)*性格一覧!$F19)*0.01*(VLOOKUP($L$3,ギルド一覧!$B$4:$R$29,16,FALSE)))</f>
        <v>316.8</v>
      </c>
      <c r="Q28" s="194">
        <f>IF($L$4="通常",(VLOOKUP($K$7,'モンスター　一覧'!$B$4:$O$198,14,FALSE)*性格一覧!$G19)*0.01*(VLOOKUP($L$3,ギルド一覧!$B$4:$R$29,11,FALSE)),(VLOOKUP($K$7,'モンスター　一覧'!$B$4:$O$198,14,FALSE)*性格一覧!$G19)*0.01*(VLOOKUP($L$3,ギルド一覧!$B$4:$R$29,17,FALSE)))</f>
        <v>58.95</v>
      </c>
      <c r="R28" s="205">
        <f t="shared" si="1"/>
        <v>890.88700000000017</v>
      </c>
      <c r="T28" s="64" t="s">
        <v>33</v>
      </c>
      <c r="U28" s="193">
        <f>IF($U$4="通常",(VLOOKUP($T$7,'モンスター　一覧'!$B$4:$O$198,9,FALSE)*性格一覧!$B19)*0.01*(VLOOKUP($U$3,ギルド一覧!$B$4:$R$29,6,FALSE)),(VLOOKUP($T$7,'モンスター　一覧'!$B$4:$O$198,9,FALSE)*性格一覧!$B19)*0.01*(VLOOKUP($U$3,ギルド一覧!$B$4:$R$29,12,FALSE)))</f>
        <v>26.35</v>
      </c>
      <c r="V28" s="193">
        <f>IF($U$4="通常",(VLOOKUP($T$7,'モンスター　一覧'!$B$4:$O$198,10,FALSE)*性格一覧!$C19)*0.01*(VLOOKUP($U$3,ギルド一覧!$B$4:$R$29,7,FALSE)),(VLOOKUP($T$7,'モンスター　一覧'!$B$4:$O$198,10,FALSE)*性格一覧!$C19)*0.01*(VLOOKUP($U$3,ギルド一覧!$B$4:$R$29,13,FALSE)))</f>
        <v>27.69</v>
      </c>
      <c r="W28" s="193">
        <f>IF($U$4="通常",(VLOOKUP($T$7,'モンスター　一覧'!$B$4:$O$198,11,FALSE)*性格一覧!$D19)*0.01*(VLOOKUP($U$3,ギルド一覧!$B$4:$R$29,8,FALSE)),(VLOOKUP($T$7,'モンスター　一覧'!$B$4:$O$198,11,FALSE)*性格一覧!$D19)*0.01*(VLOOKUP($U$3,ギルド一覧!$B$4:$R$29,14,FALSE)))</f>
        <v>40.32</v>
      </c>
      <c r="X28" s="193">
        <f>IF($U$4="通常",(VLOOKUP($T$7,'モンスター　一覧'!$B$4:$O$198,12,FALSE)*性格一覧!$E19)*0.01*(VLOOKUP($U$3,ギルド一覧!$B$4:$R$29,9,FALSE)),(VLOOKUP($T$7,'モンスター　一覧'!$B$4:$O$198,12,FALSE)*性格一覧!$E19)*0.01*(VLOOKUP($U$3,ギルド一覧!$B$4:$R$29,15,FALSE)))</f>
        <v>454.09000000000003</v>
      </c>
      <c r="Y28" s="193">
        <f>IF($U$4="通常",(VLOOKUP($T$7,'モンスター　一覧'!$B$4:$O$198,13,FALSE)*性格一覧!$F19)*0.01*(VLOOKUP($U$3,ギルド一覧!$B$4:$R$29,10,FALSE)),(VLOOKUP($T$7,'モンスター　一覧'!$B$4:$O$198,13,FALSE)*性格一覧!$F19)*0.01*(VLOOKUP($U$3,ギルド一覧!$B$4:$R$29,16,FALSE)))</f>
        <v>316.8</v>
      </c>
      <c r="Z28" s="194">
        <f>IF($U$4="通常",(VLOOKUP($T$7,'モンスター　一覧'!$B$4:$O$198,14,FALSE)*性格一覧!$G19)*0.01*(VLOOKUP($U$3,ギルド一覧!$B$4:$R$29,11,FALSE)),(VLOOKUP($T$7,'モンスター　一覧'!$B$4:$O$198,14,FALSE)*性格一覧!$G19)*0.01*(VLOOKUP($U$3,ギルド一覧!$B$4:$R$29,17,FALSE)))</f>
        <v>58.95</v>
      </c>
      <c r="AA28" s="205">
        <f t="shared" si="2"/>
        <v>924.2</v>
      </c>
      <c r="AC28" s="152" t="s">
        <v>174</v>
      </c>
      <c r="AD28" s="219" t="s">
        <v>878</v>
      </c>
    </row>
    <row r="29" spans="2:30" s="55" customFormat="1" ht="12">
      <c r="B29" s="64" t="s">
        <v>34</v>
      </c>
      <c r="C29" s="193">
        <f>IF($C$4="通常",(VLOOKUP($B$7,'モンスター　一覧'!$B$4:$O$198,9,FALSE)*性格一覧!$B20)*0.01*(VLOOKUP($C$3,ギルド一覧!$B$4:$R$29,6,FALSE)),(VLOOKUP($B$7,'モンスター　一覧'!$B$4:$O$198,9,FALSE)*性格一覧!$B20)*0.01*(VLOOKUP($C$3,ギルド一覧!$B$4:$R$29,12,FALSE)))</f>
        <v>157.68</v>
      </c>
      <c r="D29" s="193">
        <f>IF($C$4="通常",(VLOOKUP($B$7,'モンスター　一覧'!$B$4:$O$198,10,FALSE)*性格一覧!$C20)*0.01*(VLOOKUP($C$3,ギルド一覧!$B$4:$R$29,7,FALSE)),(VLOOKUP($B$7,'モンスター　一覧'!$B$4:$O$198,10,FALSE)*性格一覧!$C20)*0.01*(VLOOKUP($C$3,ギルド一覧!$B$4:$R$29,13,FALSE)))</f>
        <v>43.07</v>
      </c>
      <c r="E29" s="193">
        <f>IF($C$4="通常",(VLOOKUP($B$7,'モンスター　一覧'!$B$4:$O$198,11,FALSE)*性格一覧!$D20)*0.01*(VLOOKUP($C$3,ギルド一覧!$B$4:$R$29,8,FALSE)),(VLOOKUP($B$7,'モンスター　一覧'!$B$4:$O$198,11,FALSE)*性格一覧!$D20)*0.01*(VLOOKUP($C$3,ギルド一覧!$B$4:$R$29,14,FALSE)))</f>
        <v>74.52</v>
      </c>
      <c r="F29" s="193">
        <f>IF($C$4="通常",(VLOOKUP($B$7,'モンスター　一覧'!$B$4:$O$198,12,FALSE)*性格一覧!$E20)*0.01*(VLOOKUP($C$3,ギルド一覧!$B$4:$R$29,9,FALSE)),(VLOOKUP($B$7,'モンスター　一覧'!$B$4:$O$198,12,FALSE)*性格一覧!$E20)*0.01*(VLOOKUP($C$3,ギルド一覧!$B$4:$R$29,15,FALSE)))</f>
        <v>116.44</v>
      </c>
      <c r="G29" s="193">
        <f>IF($C$4="通常",(VLOOKUP($B$7,'モンスター　一覧'!$B$4:$O$198,13,FALSE)*性格一覧!$F20)*0.01*(VLOOKUP($C$3,ギルド一覧!$B$4:$R$29,10,FALSE)),(VLOOKUP($B$7,'モンスター　一覧'!$B$4:$O$198,13,FALSE)*性格一覧!$F20)*0.01*(VLOOKUP($C$3,ギルド一覧!$B$4:$R$29,16,FALSE)))</f>
        <v>54.4</v>
      </c>
      <c r="H29" s="194">
        <f>IF($C$4="通常",(VLOOKUP($B$7,'モンスター　一覧'!$B$4:$O$198,14,FALSE)*性格一覧!$G20)*0.01*(VLOOKUP($C$3,ギルド一覧!$B$4:$R$29,11,FALSE)),(VLOOKUP($B$7,'モンスター　一覧'!$B$4:$O$198,14,FALSE)*性格一覧!$G20)*0.01*(VLOOKUP($C$3,ギルド一覧!$B$4:$R$29,17,FALSE)))</f>
        <v>158.62</v>
      </c>
      <c r="I29" s="205">
        <f t="shared" si="0"/>
        <v>604.73</v>
      </c>
      <c r="J29" s="56"/>
      <c r="K29" s="64" t="s">
        <v>34</v>
      </c>
      <c r="L29" s="193">
        <f>IF($L$4="通常",(VLOOKUP($K$7,'モンスター　一覧'!$B$4:$O$198,9,FALSE)*性格一覧!$B20)*0.01*(VLOOKUP($L$3,ギルド一覧!$B$4:$R$29,6,FALSE)),(VLOOKUP($K$7,'モンスター　一覧'!$B$4:$O$198,9,FALSE)*性格一覧!$B20)*0.01*(VLOOKUP($L$3,ギルド一覧!$B$4:$R$29,12,FALSE)))</f>
        <v>33.480000000000004</v>
      </c>
      <c r="M29" s="193">
        <f>IF($L$4="通常",(VLOOKUP($K$7,'モンスター　一覧'!$B$4:$O$198,10,FALSE)*性格一覧!$C20)*0.01*(VLOOKUP($L$3,ギルド一覧!$B$4:$R$29,7,FALSE)),(VLOOKUP($K$7,'モンスター　一覧'!$B$4:$O$198,10,FALSE)*性格一覧!$C20)*0.01*(VLOOKUP($L$3,ギルド一覧!$B$4:$R$29,13,FALSE)))</f>
        <v>23.01</v>
      </c>
      <c r="N29" s="193">
        <f>IF($L$4="通常",(VLOOKUP($K$7,'モンスター　一覧'!$B$4:$O$198,11,FALSE)*性格一覧!$D20)*0.01*(VLOOKUP($L$3,ギルド一覧!$B$4:$R$29,8,FALSE)),(VLOOKUP($K$7,'モンスター　一覧'!$B$4:$O$198,11,FALSE)*性格一覧!$D20)*0.01*(VLOOKUP($L$3,ギルド一覧!$B$4:$R$29,14,FALSE)))</f>
        <v>50.544000000000004</v>
      </c>
      <c r="O29" s="193">
        <f>IF($L$4="通常",(VLOOKUP($K$7,'モンスター　一覧'!$B$4:$O$198,12,FALSE)*性格一覧!$E20)*0.01*(VLOOKUP($L$3,ギルド一覧!$B$4:$R$29,9,FALSE)),(VLOOKUP($K$7,'モンスター　一覧'!$B$4:$O$198,12,FALSE)*性格一覧!$E20)*0.01*(VLOOKUP($L$3,ギルド一覧!$B$4:$R$29,15,FALSE)))</f>
        <v>637.72200000000009</v>
      </c>
      <c r="P29" s="193">
        <f>IF($L$4="通常",(VLOOKUP($K$7,'モンスター　一覧'!$B$4:$O$198,13,FALSE)*性格一覧!$F20)*0.01*(VLOOKUP($L$3,ギルド一覧!$B$4:$R$29,10,FALSE)),(VLOOKUP($K$7,'モンスター　一覧'!$B$4:$O$198,13,FALSE)*性格一覧!$F20)*0.01*(VLOOKUP($L$3,ギルド一覧!$B$4:$R$29,16,FALSE)))</f>
        <v>239.36</v>
      </c>
      <c r="Q29" s="194">
        <f>IF($L$4="通常",(VLOOKUP($K$7,'モンスター　一覧'!$B$4:$O$198,14,FALSE)*性格一覧!$G20)*0.01*(VLOOKUP($L$3,ギルド一覧!$B$4:$R$29,11,FALSE)),(VLOOKUP($K$7,'モンスター　一覧'!$B$4:$O$198,14,FALSE)*性格一覧!$G20)*0.01*(VLOOKUP($L$3,ギルド一覧!$B$4:$R$29,17,FALSE)))</f>
        <v>46.35</v>
      </c>
      <c r="R29" s="205">
        <f t="shared" si="1"/>
        <v>1030.4660000000001</v>
      </c>
      <c r="T29" s="64" t="s">
        <v>34</v>
      </c>
      <c r="U29" s="193">
        <f>IF($U$4="通常",(VLOOKUP($T$7,'モンスター　一覧'!$B$4:$O$198,9,FALSE)*性格一覧!$B20)*0.01*(VLOOKUP($U$3,ギルド一覧!$B$4:$R$29,6,FALSE)),(VLOOKUP($T$7,'モンスター　一覧'!$B$4:$O$198,9,FALSE)*性格一覧!$B20)*0.01*(VLOOKUP($U$3,ギルド一覧!$B$4:$R$29,12,FALSE)))</f>
        <v>33.480000000000004</v>
      </c>
      <c r="V29" s="193">
        <f>IF($U$4="通常",(VLOOKUP($T$7,'モンスター　一覧'!$B$4:$O$198,10,FALSE)*性格一覧!$C20)*0.01*(VLOOKUP($U$3,ギルド一覧!$B$4:$R$29,7,FALSE)),(VLOOKUP($T$7,'モンスター　一覧'!$B$4:$O$198,10,FALSE)*性格一覧!$C20)*0.01*(VLOOKUP($U$3,ギルド一覧!$B$4:$R$29,13,FALSE)))</f>
        <v>23.01</v>
      </c>
      <c r="W29" s="193">
        <f>IF($U$4="通常",(VLOOKUP($T$7,'モンスター　一覧'!$B$4:$O$198,11,FALSE)*性格一覧!$D20)*0.01*(VLOOKUP($U$3,ギルド一覧!$B$4:$R$29,8,FALSE)),(VLOOKUP($T$7,'モンスター　一覧'!$B$4:$O$198,11,FALSE)*性格一覧!$D20)*0.01*(VLOOKUP($U$3,ギルド一覧!$B$4:$R$29,14,FALSE)))</f>
        <v>38.880000000000003</v>
      </c>
      <c r="X29" s="193">
        <f>IF($U$4="通常",(VLOOKUP($T$7,'モンスター　一覧'!$B$4:$O$198,12,FALSE)*性格一覧!$E20)*0.01*(VLOOKUP($U$3,ギルド一覧!$B$4:$R$29,9,FALSE)),(VLOOKUP($T$7,'モンスター　一覧'!$B$4:$O$198,12,FALSE)*性格一覧!$E20)*0.01*(VLOOKUP($U$3,ギルド一覧!$B$4:$R$29,15,FALSE)))</f>
        <v>708.58</v>
      </c>
      <c r="Y29" s="193">
        <f>IF($U$4="通常",(VLOOKUP($T$7,'モンスター　一覧'!$B$4:$O$198,13,FALSE)*性格一覧!$F20)*0.01*(VLOOKUP($U$3,ギルド一覧!$B$4:$R$29,10,FALSE)),(VLOOKUP($T$7,'モンスター　一覧'!$B$4:$O$198,13,FALSE)*性格一覧!$F20)*0.01*(VLOOKUP($U$3,ギルド一覧!$B$4:$R$29,16,FALSE)))</f>
        <v>239.36</v>
      </c>
      <c r="Z29" s="194">
        <f>IF($U$4="通常",(VLOOKUP($T$7,'モンスター　一覧'!$B$4:$O$198,14,FALSE)*性格一覧!$G20)*0.01*(VLOOKUP($U$3,ギルド一覧!$B$4:$R$29,11,FALSE)),(VLOOKUP($T$7,'モンスター　一覧'!$B$4:$O$198,14,FALSE)*性格一覧!$G20)*0.01*(VLOOKUP($U$3,ギルド一覧!$B$4:$R$29,17,FALSE)))</f>
        <v>46.35</v>
      </c>
      <c r="AA29" s="205">
        <f t="shared" si="2"/>
        <v>1089.6599999999999</v>
      </c>
      <c r="AC29" s="152" t="s">
        <v>126</v>
      </c>
      <c r="AD29" s="219" t="s">
        <v>879</v>
      </c>
    </row>
    <row r="30" spans="2:30" s="55" customFormat="1" ht="12">
      <c r="B30" s="64" t="s">
        <v>35</v>
      </c>
      <c r="C30" s="193">
        <f>IF($C$4="通常",(VLOOKUP($B$7,'モンスター　一覧'!$B$4:$O$198,9,FALSE)*性格一覧!$B21)*0.01*(VLOOKUP($C$3,ギルド一覧!$B$4:$R$29,6,FALSE)),(VLOOKUP($B$7,'モンスター　一覧'!$B$4:$O$198,9,FALSE)*性格一覧!$B21)*0.01*(VLOOKUP($C$3,ギルド一覧!$B$4:$R$29,12,FALSE)))</f>
        <v>150.38</v>
      </c>
      <c r="D30" s="193">
        <f>IF($C$4="通常",(VLOOKUP($B$7,'モンスター　一覧'!$B$4:$O$198,10,FALSE)*性格一覧!$C21)*0.01*(VLOOKUP($C$3,ギルド一覧!$B$4:$R$29,7,FALSE)),(VLOOKUP($B$7,'モンスター　一覧'!$B$4:$O$198,10,FALSE)*性格一覧!$C21)*0.01*(VLOOKUP($C$3,ギルド一覧!$B$4:$R$29,13,FALSE)))</f>
        <v>60.59</v>
      </c>
      <c r="E30" s="193">
        <f>IF($C$4="通常",(VLOOKUP($B$7,'モンスター　一覧'!$B$4:$O$198,11,FALSE)*性格一覧!$D21)*0.01*(VLOOKUP($C$3,ギルド一覧!$B$4:$R$29,8,FALSE)),(VLOOKUP($B$7,'モンスター　一覧'!$B$4:$O$198,11,FALSE)*性格一覧!$D21)*0.01*(VLOOKUP($C$3,ギルド一覧!$B$4:$R$29,14,FALSE)))</f>
        <v>91.77</v>
      </c>
      <c r="F30" s="193">
        <f>IF($C$4="通常",(VLOOKUP($B$7,'モンスター　一覧'!$B$4:$O$198,12,FALSE)*性格一覧!$E21)*0.01*(VLOOKUP($C$3,ギルド一覧!$B$4:$R$29,9,FALSE)),(VLOOKUP($B$7,'モンスター　一覧'!$B$4:$O$198,12,FALSE)*性格一覧!$E21)*0.01*(VLOOKUP($C$3,ギルド一覧!$B$4:$R$29,15,FALSE)))</f>
        <v>67.239999999999995</v>
      </c>
      <c r="G30" s="193">
        <f>IF($C$4="通常",(VLOOKUP($B$7,'モンスター　一覧'!$B$4:$O$198,13,FALSE)*性格一覧!$F21)*0.01*(VLOOKUP($C$3,ギルド一覧!$B$4:$R$29,10,FALSE)),(VLOOKUP($B$7,'モンスター　一覧'!$B$4:$O$198,13,FALSE)*性格一覧!$F21)*0.01*(VLOOKUP($C$3,ギルド一覧!$B$4:$R$29,16,FALSE)))</f>
        <v>60</v>
      </c>
      <c r="H30" s="194">
        <f>IF($C$4="通常",(VLOOKUP($B$7,'モンスター　一覧'!$B$4:$O$198,14,FALSE)*性格一覧!$G21)*0.01*(VLOOKUP($C$3,ギルド一覧!$B$4:$R$29,11,FALSE)),(VLOOKUP($B$7,'モンスター　一覧'!$B$4:$O$198,14,FALSE)*性格一覧!$G21)*0.01*(VLOOKUP($C$3,ギルド一覧!$B$4:$R$29,17,FALSE)))</f>
        <v>100.10000000000001</v>
      </c>
      <c r="I30" s="205">
        <f t="shared" si="0"/>
        <v>530.08000000000004</v>
      </c>
      <c r="J30" s="56"/>
      <c r="K30" s="64" t="s">
        <v>35</v>
      </c>
      <c r="L30" s="193">
        <f>IF($L$4="通常",(VLOOKUP($K$7,'モンスター　一覧'!$B$4:$O$198,9,FALSE)*性格一覧!$B21)*0.01*(VLOOKUP($L$3,ギルド一覧!$B$4:$R$29,6,FALSE)),(VLOOKUP($K$7,'モンスター　一覧'!$B$4:$O$198,9,FALSE)*性格一覧!$B21)*0.01*(VLOOKUP($L$3,ギルド一覧!$B$4:$R$29,12,FALSE)))</f>
        <v>31.93</v>
      </c>
      <c r="M30" s="193">
        <f>IF($L$4="通常",(VLOOKUP($K$7,'モンスター　一覧'!$B$4:$O$198,10,FALSE)*性格一覧!$C21)*0.01*(VLOOKUP($L$3,ギルド一覧!$B$4:$R$29,7,FALSE)),(VLOOKUP($K$7,'モンスター　一覧'!$B$4:$O$198,10,FALSE)*性格一覧!$C21)*0.01*(VLOOKUP($L$3,ギルド一覧!$B$4:$R$29,13,FALSE)))</f>
        <v>32.369999999999997</v>
      </c>
      <c r="N30" s="193">
        <f>IF($L$4="通常",(VLOOKUP($K$7,'モンスター　一覧'!$B$4:$O$198,11,FALSE)*性格一覧!$D21)*0.01*(VLOOKUP($L$3,ギルド一覧!$B$4:$R$29,8,FALSE)),(VLOOKUP($K$7,'モンスター　一覧'!$B$4:$O$198,11,FALSE)*性格一覧!$D21)*0.01*(VLOOKUP($L$3,ギルド一覧!$B$4:$R$29,14,FALSE)))</f>
        <v>62.244000000000007</v>
      </c>
      <c r="O30" s="193">
        <f>IF($L$4="通常",(VLOOKUP($K$7,'モンスター　一覧'!$B$4:$O$198,12,FALSE)*性格一覧!$E21)*0.01*(VLOOKUP($L$3,ギルド一覧!$B$4:$R$29,9,FALSE)),(VLOOKUP($K$7,'モンスター　一覧'!$B$4:$O$198,12,FALSE)*性格一覧!$E21)*0.01*(VLOOKUP($L$3,ギルド一覧!$B$4:$R$29,15,FALSE)))</f>
        <v>368.262</v>
      </c>
      <c r="P30" s="193">
        <f>IF($L$4="通常",(VLOOKUP($K$7,'モンスター　一覧'!$B$4:$O$198,13,FALSE)*性格一覧!$F21)*0.01*(VLOOKUP($L$3,ギルド一覧!$B$4:$R$29,10,FALSE)),(VLOOKUP($K$7,'モンスター　一覧'!$B$4:$O$198,13,FALSE)*性格一覧!$F21)*0.01*(VLOOKUP($L$3,ギルド一覧!$B$4:$R$29,16,FALSE)))</f>
        <v>264</v>
      </c>
      <c r="Q30" s="194">
        <f>IF($L$4="通常",(VLOOKUP($K$7,'モンスター　一覧'!$B$4:$O$198,14,FALSE)*性格一覧!$G21)*0.01*(VLOOKUP($L$3,ギルド一覧!$B$4:$R$29,11,FALSE)),(VLOOKUP($K$7,'モンスター　一覧'!$B$4:$O$198,14,FALSE)*性格一覧!$G21)*0.01*(VLOOKUP($L$3,ギルド一覧!$B$4:$R$29,17,FALSE)))</f>
        <v>29.25</v>
      </c>
      <c r="R30" s="205">
        <f t="shared" si="1"/>
        <v>788.05600000000004</v>
      </c>
      <c r="T30" s="64" t="s">
        <v>35</v>
      </c>
      <c r="U30" s="193">
        <f>IF($U$4="通常",(VLOOKUP($T$7,'モンスター　一覧'!$B$4:$O$198,9,FALSE)*性格一覧!$B21)*0.01*(VLOOKUP($U$3,ギルド一覧!$B$4:$R$29,6,FALSE)),(VLOOKUP($T$7,'モンスター　一覧'!$B$4:$O$198,9,FALSE)*性格一覧!$B21)*0.01*(VLOOKUP($U$3,ギルド一覧!$B$4:$R$29,12,FALSE)))</f>
        <v>31.93</v>
      </c>
      <c r="V30" s="193">
        <f>IF($U$4="通常",(VLOOKUP($T$7,'モンスター　一覧'!$B$4:$O$198,10,FALSE)*性格一覧!$C21)*0.01*(VLOOKUP($U$3,ギルド一覧!$B$4:$R$29,7,FALSE)),(VLOOKUP($T$7,'モンスター　一覧'!$B$4:$O$198,10,FALSE)*性格一覧!$C21)*0.01*(VLOOKUP($U$3,ギルド一覧!$B$4:$R$29,13,FALSE)))</f>
        <v>32.369999999999997</v>
      </c>
      <c r="W30" s="193">
        <f>IF($U$4="通常",(VLOOKUP($T$7,'モンスター　一覧'!$B$4:$O$198,11,FALSE)*性格一覧!$D21)*0.01*(VLOOKUP($U$3,ギルド一覧!$B$4:$R$29,8,FALSE)),(VLOOKUP($T$7,'モンスター　一覧'!$B$4:$O$198,11,FALSE)*性格一覧!$D21)*0.01*(VLOOKUP($U$3,ギルド一覧!$B$4:$R$29,14,FALSE)))</f>
        <v>47.88</v>
      </c>
      <c r="X30" s="193">
        <f>IF($U$4="通常",(VLOOKUP($T$7,'モンスター　一覧'!$B$4:$O$198,12,FALSE)*性格一覧!$E21)*0.01*(VLOOKUP($U$3,ギルド一覧!$B$4:$R$29,9,FALSE)),(VLOOKUP($T$7,'モンスター　一覧'!$B$4:$O$198,12,FALSE)*性格一覧!$E21)*0.01*(VLOOKUP($U$3,ギルド一覧!$B$4:$R$29,15,FALSE)))</f>
        <v>409.18</v>
      </c>
      <c r="Y30" s="193">
        <f>IF($U$4="通常",(VLOOKUP($T$7,'モンスター　一覧'!$B$4:$O$198,13,FALSE)*性格一覧!$F21)*0.01*(VLOOKUP($U$3,ギルド一覧!$B$4:$R$29,10,FALSE)),(VLOOKUP($T$7,'モンスター　一覧'!$B$4:$O$198,13,FALSE)*性格一覧!$F21)*0.01*(VLOOKUP($U$3,ギルド一覧!$B$4:$R$29,16,FALSE)))</f>
        <v>264</v>
      </c>
      <c r="Z30" s="194">
        <f>IF($U$4="通常",(VLOOKUP($T$7,'モンスター　一覧'!$B$4:$O$198,14,FALSE)*性格一覧!$G21)*0.01*(VLOOKUP($U$3,ギルド一覧!$B$4:$R$29,11,FALSE)),(VLOOKUP($T$7,'モンスター　一覧'!$B$4:$O$198,14,FALSE)*性格一覧!$G21)*0.01*(VLOOKUP($U$3,ギルド一覧!$B$4:$R$29,17,FALSE)))</f>
        <v>29.25</v>
      </c>
      <c r="AA30" s="205">
        <f t="shared" si="2"/>
        <v>814.61</v>
      </c>
      <c r="AC30" s="152" t="s">
        <v>236</v>
      </c>
      <c r="AD30" s="219" t="s">
        <v>889</v>
      </c>
    </row>
    <row r="31" spans="2:30" s="55" customFormat="1" ht="12">
      <c r="B31" s="64" t="s">
        <v>36</v>
      </c>
      <c r="C31" s="193">
        <f>IF($C$4="通常",(VLOOKUP($B$7,'モンスター　一覧'!$B$4:$O$198,9,FALSE)*性格一覧!$B22)*0.01*(VLOOKUP($C$3,ギルド一覧!$B$4:$R$29,6,FALSE)),(VLOOKUP($B$7,'モンスター　一覧'!$B$4:$O$198,9,FALSE)*性格一覧!$B22)*0.01*(VLOOKUP($C$3,ギルド一覧!$B$4:$R$29,12,FALSE)))</f>
        <v>102.2</v>
      </c>
      <c r="D31" s="193">
        <f>IF($C$4="通常",(VLOOKUP($B$7,'モンスター　一覧'!$B$4:$O$198,10,FALSE)*性格一覧!$C22)*0.01*(VLOOKUP($C$3,ギルド一覧!$B$4:$R$29,7,FALSE)),(VLOOKUP($B$7,'モンスター　一覧'!$B$4:$O$198,10,FALSE)*性格一覧!$C22)*0.01*(VLOOKUP($C$3,ギルド一覧!$B$4:$R$29,13,FALSE)))</f>
        <v>89.79</v>
      </c>
      <c r="E31" s="193">
        <f>IF($C$4="通常",(VLOOKUP($B$7,'モンスター　一覧'!$B$4:$O$198,11,FALSE)*性格一覧!$D22)*0.01*(VLOOKUP($C$3,ギルド一覧!$B$4:$R$29,8,FALSE)),(VLOOKUP($B$7,'モンスター　一覧'!$B$4:$O$198,11,FALSE)*性格一覧!$D22)*0.01*(VLOOKUP($C$3,ギルド一覧!$B$4:$R$29,14,FALSE)))</f>
        <v>69</v>
      </c>
      <c r="F31" s="193">
        <f>IF($C$4="通常",(VLOOKUP($B$7,'モンスター　一覧'!$B$4:$O$198,12,FALSE)*性格一覧!$E22)*0.01*(VLOOKUP($C$3,ギルド一覧!$B$4:$R$29,9,FALSE)),(VLOOKUP($B$7,'モンスター　一覧'!$B$4:$O$198,12,FALSE)*性格一覧!$E22)*0.01*(VLOOKUP($C$3,ギルド一覧!$B$4:$R$29,15,FALSE)))</f>
        <v>68.88</v>
      </c>
      <c r="G31" s="193">
        <f>IF($C$4="通常",(VLOOKUP($B$7,'モンスター　一覧'!$B$4:$O$198,13,FALSE)*性格一覧!$F22)*0.01*(VLOOKUP($C$3,ギルド一覧!$B$4:$R$29,10,FALSE)),(VLOOKUP($B$7,'モンスター　一覧'!$B$4:$O$198,13,FALSE)*性格一覧!$F22)*0.01*(VLOOKUP($C$3,ギルド一覧!$B$4:$R$29,16,FALSE)))</f>
        <v>73.600000000000009</v>
      </c>
      <c r="H31" s="194">
        <f>IF($C$4="通常",(VLOOKUP($B$7,'モンスター　一覧'!$B$4:$O$198,14,FALSE)*性格一覧!$G22)*0.01*(VLOOKUP($C$3,ギルド一覧!$B$4:$R$29,11,FALSE)),(VLOOKUP($B$7,'モンスター　一覧'!$B$4:$O$198,14,FALSE)*性格一覧!$G22)*0.01*(VLOOKUP($C$3,ギルド一覧!$B$4:$R$29,17,FALSE)))</f>
        <v>166.32</v>
      </c>
      <c r="I31" s="205">
        <f t="shared" si="0"/>
        <v>569.79</v>
      </c>
      <c r="J31" s="56"/>
      <c r="K31" s="64" t="s">
        <v>36</v>
      </c>
      <c r="L31" s="193">
        <f>IF($L$4="通常",(VLOOKUP($K$7,'モンスター　一覧'!$B$4:$O$198,9,FALSE)*性格一覧!$B22)*0.01*(VLOOKUP($L$3,ギルド一覧!$B$4:$R$29,6,FALSE)),(VLOOKUP($K$7,'モンスター　一覧'!$B$4:$O$198,9,FALSE)*性格一覧!$B22)*0.01*(VLOOKUP($L$3,ギルド一覧!$B$4:$R$29,12,FALSE)))</f>
        <v>21.7</v>
      </c>
      <c r="M31" s="193">
        <f>IF($L$4="通常",(VLOOKUP($K$7,'モンスター　一覧'!$B$4:$O$198,10,FALSE)*性格一覧!$C22)*0.01*(VLOOKUP($L$3,ギルド一覧!$B$4:$R$29,7,FALSE)),(VLOOKUP($K$7,'モンスター　一覧'!$B$4:$O$198,10,FALSE)*性格一覧!$C22)*0.01*(VLOOKUP($L$3,ギルド一覧!$B$4:$R$29,13,FALSE)))</f>
        <v>47.97</v>
      </c>
      <c r="N31" s="193">
        <f>IF($L$4="通常",(VLOOKUP($K$7,'モンスター　一覧'!$B$4:$O$198,11,FALSE)*性格一覧!$D22)*0.01*(VLOOKUP($L$3,ギルド一覧!$B$4:$R$29,8,FALSE)),(VLOOKUP($K$7,'モンスター　一覧'!$B$4:$O$198,11,FALSE)*性格一覧!$D22)*0.01*(VLOOKUP($L$3,ギルド一覧!$B$4:$R$29,14,FALSE)))</f>
        <v>46.800000000000004</v>
      </c>
      <c r="O31" s="193">
        <f>IF($L$4="通常",(VLOOKUP($K$7,'モンスター　一覧'!$B$4:$O$198,12,FALSE)*性格一覧!$E22)*0.01*(VLOOKUP($L$3,ギルド一覧!$B$4:$R$29,9,FALSE)),(VLOOKUP($K$7,'モンスター　一覧'!$B$4:$O$198,12,FALSE)*性格一覧!$E22)*0.01*(VLOOKUP($L$3,ギルド一覧!$B$4:$R$29,15,FALSE)))</f>
        <v>377.24400000000003</v>
      </c>
      <c r="P31" s="193">
        <f>IF($L$4="通常",(VLOOKUP($K$7,'モンスター　一覧'!$B$4:$O$198,13,FALSE)*性格一覧!$F22)*0.01*(VLOOKUP($L$3,ギルド一覧!$B$4:$R$29,10,FALSE)),(VLOOKUP($K$7,'モンスター　一覧'!$B$4:$O$198,13,FALSE)*性格一覧!$F22)*0.01*(VLOOKUP($L$3,ギルド一覧!$B$4:$R$29,16,FALSE)))</f>
        <v>323.84000000000003</v>
      </c>
      <c r="Q31" s="194">
        <f>IF($L$4="通常",(VLOOKUP($K$7,'モンスター　一覧'!$B$4:$O$198,14,FALSE)*性格一覧!$G22)*0.01*(VLOOKUP($L$3,ギルド一覧!$B$4:$R$29,11,FALSE)),(VLOOKUP($K$7,'モンスター　一覧'!$B$4:$O$198,14,FALSE)*性格一覧!$G22)*0.01*(VLOOKUP($L$3,ギルド一覧!$B$4:$R$29,17,FALSE)))</f>
        <v>48.6</v>
      </c>
      <c r="R31" s="205">
        <f t="shared" si="1"/>
        <v>866.15400000000011</v>
      </c>
      <c r="T31" s="64" t="s">
        <v>36</v>
      </c>
      <c r="U31" s="193">
        <f>IF($U$4="通常",(VLOOKUP($T$7,'モンスター　一覧'!$B$4:$O$198,9,FALSE)*性格一覧!$B22)*0.01*(VLOOKUP($U$3,ギルド一覧!$B$4:$R$29,6,FALSE)),(VLOOKUP($T$7,'モンスター　一覧'!$B$4:$O$198,9,FALSE)*性格一覧!$B22)*0.01*(VLOOKUP($U$3,ギルド一覧!$B$4:$R$29,12,FALSE)))</f>
        <v>21.7</v>
      </c>
      <c r="V31" s="193">
        <f>IF($U$4="通常",(VLOOKUP($T$7,'モンスター　一覧'!$B$4:$O$198,10,FALSE)*性格一覧!$C22)*0.01*(VLOOKUP($U$3,ギルド一覧!$B$4:$R$29,7,FALSE)),(VLOOKUP($T$7,'モンスター　一覧'!$B$4:$O$198,10,FALSE)*性格一覧!$C22)*0.01*(VLOOKUP($U$3,ギルド一覧!$B$4:$R$29,13,FALSE)))</f>
        <v>47.97</v>
      </c>
      <c r="W31" s="193">
        <f>IF($U$4="通常",(VLOOKUP($T$7,'モンスター　一覧'!$B$4:$O$198,11,FALSE)*性格一覧!$D22)*0.01*(VLOOKUP($U$3,ギルド一覧!$B$4:$R$29,8,FALSE)),(VLOOKUP($T$7,'モンスター　一覧'!$B$4:$O$198,11,FALSE)*性格一覧!$D22)*0.01*(VLOOKUP($U$3,ギルド一覧!$B$4:$R$29,14,FALSE)))</f>
        <v>36</v>
      </c>
      <c r="X31" s="193">
        <f>IF($U$4="通常",(VLOOKUP($T$7,'モンスター　一覧'!$B$4:$O$198,12,FALSE)*性格一覧!$E22)*0.01*(VLOOKUP($U$3,ギルド一覧!$B$4:$R$29,9,FALSE)),(VLOOKUP($T$7,'モンスター　一覧'!$B$4:$O$198,12,FALSE)*性格一覧!$E22)*0.01*(VLOOKUP($U$3,ギルド一覧!$B$4:$R$29,15,FALSE)))</f>
        <v>419.16</v>
      </c>
      <c r="Y31" s="193">
        <f>IF($U$4="通常",(VLOOKUP($T$7,'モンスター　一覧'!$B$4:$O$198,13,FALSE)*性格一覧!$F22)*0.01*(VLOOKUP($U$3,ギルド一覧!$B$4:$R$29,10,FALSE)),(VLOOKUP($T$7,'モンスター　一覧'!$B$4:$O$198,13,FALSE)*性格一覧!$F22)*0.01*(VLOOKUP($U$3,ギルド一覧!$B$4:$R$29,16,FALSE)))</f>
        <v>323.84000000000003</v>
      </c>
      <c r="Z31" s="194">
        <f>IF($U$4="通常",(VLOOKUP($T$7,'モンスター　一覧'!$B$4:$O$198,14,FALSE)*性格一覧!$G22)*0.01*(VLOOKUP($U$3,ギルド一覧!$B$4:$R$29,11,FALSE)),(VLOOKUP($T$7,'モンスター　一覧'!$B$4:$O$198,14,FALSE)*性格一覧!$G22)*0.01*(VLOOKUP($U$3,ギルド一覧!$B$4:$R$29,17,FALSE)))</f>
        <v>48.6</v>
      </c>
      <c r="AA31" s="205">
        <f t="shared" si="2"/>
        <v>897.2700000000001</v>
      </c>
      <c r="AC31" s="152" t="s">
        <v>811</v>
      </c>
      <c r="AD31" s="219" t="s">
        <v>890</v>
      </c>
    </row>
    <row r="32" spans="2:30" s="55" customFormat="1" ht="12">
      <c r="B32" s="64" t="s">
        <v>37</v>
      </c>
      <c r="C32" s="193">
        <f>IF($C$4="通常",(VLOOKUP($B$7,'モンスター　一覧'!$B$4:$O$198,9,FALSE)*性格一覧!$B23)*0.01*(VLOOKUP($C$3,ギルド一覧!$B$4:$R$29,6,FALSE)),(VLOOKUP($B$7,'モンスター　一覧'!$B$4:$O$198,9,FALSE)*性格一覧!$B23)*0.01*(VLOOKUP($C$3,ギルド一覧!$B$4:$R$29,12,FALSE)))</f>
        <v>146</v>
      </c>
      <c r="D32" s="193">
        <f>IF($C$4="通常",(VLOOKUP($B$7,'モンスター　一覧'!$B$4:$O$198,10,FALSE)*性格一覧!$C23)*0.01*(VLOOKUP($C$3,ギルド一覧!$B$4:$R$29,7,FALSE)),(VLOOKUP($B$7,'モンスター　一覧'!$B$4:$O$198,10,FALSE)*性格一覧!$C23)*0.01*(VLOOKUP($C$3,ギルド一覧!$B$4:$R$29,13,FALSE)))</f>
        <v>102.2</v>
      </c>
      <c r="E32" s="193">
        <f>IF($C$4="通常",(VLOOKUP($B$7,'モンスター　一覧'!$B$4:$O$198,11,FALSE)*性格一覧!$D23)*0.01*(VLOOKUP($C$3,ギルド一覧!$B$4:$R$29,8,FALSE)),(VLOOKUP($B$7,'モンスター　一覧'!$B$4:$O$198,11,FALSE)*性格一覧!$D23)*0.01*(VLOOKUP($C$3,ギルド一覧!$B$4:$R$29,14,FALSE)))</f>
        <v>63.480000000000004</v>
      </c>
      <c r="F32" s="193">
        <f>IF($C$4="通常",(VLOOKUP($B$7,'モンスター　一覧'!$B$4:$O$198,12,FALSE)*性格一覧!$E23)*0.01*(VLOOKUP($C$3,ギルド一覧!$B$4:$R$29,9,FALSE)),(VLOOKUP($B$7,'モンスター　一覧'!$B$4:$O$198,12,FALSE)*性格一覧!$E23)*0.01*(VLOOKUP($C$3,ギルド一覧!$B$4:$R$29,15,FALSE)))</f>
        <v>52.480000000000004</v>
      </c>
      <c r="G32" s="193">
        <f>IF($C$4="通常",(VLOOKUP($B$7,'モンスター　一覧'!$B$4:$O$198,13,FALSE)*性格一覧!$F23)*0.01*(VLOOKUP($C$3,ギルド一覧!$B$4:$R$29,10,FALSE)),(VLOOKUP($B$7,'モンスター　一覧'!$B$4:$O$198,13,FALSE)*性格一覧!$F23)*0.01*(VLOOKUP($C$3,ギルド一覧!$B$4:$R$29,16,FALSE)))</f>
        <v>91.2</v>
      </c>
      <c r="H32" s="194">
        <f>IF($C$4="通常",(VLOOKUP($B$7,'モンスター　一覧'!$B$4:$O$198,14,FALSE)*性格一覧!$G23)*0.01*(VLOOKUP($C$3,ギルド一覧!$B$4:$R$29,11,FALSE)),(VLOOKUP($B$7,'モンスター　一覧'!$B$4:$O$198,14,FALSE)*性格一覧!$G23)*0.01*(VLOOKUP($C$3,ギルド一覧!$B$4:$R$29,17,FALSE)))</f>
        <v>117.04</v>
      </c>
      <c r="I32" s="205">
        <f t="shared" si="0"/>
        <v>572.4</v>
      </c>
      <c r="J32" s="56"/>
      <c r="K32" s="64" t="s">
        <v>37</v>
      </c>
      <c r="L32" s="193">
        <f>IF($L$4="通常",(VLOOKUP($K$7,'モンスター　一覧'!$B$4:$O$198,9,FALSE)*性格一覧!$B23)*0.01*(VLOOKUP($L$3,ギルド一覧!$B$4:$R$29,6,FALSE)),(VLOOKUP($K$7,'モンスター　一覧'!$B$4:$O$198,9,FALSE)*性格一覧!$B23)*0.01*(VLOOKUP($L$3,ギルド一覧!$B$4:$R$29,12,FALSE)))</f>
        <v>31</v>
      </c>
      <c r="M32" s="193">
        <f>IF($L$4="通常",(VLOOKUP($K$7,'モンスター　一覧'!$B$4:$O$198,10,FALSE)*性格一覧!$C23)*0.01*(VLOOKUP($L$3,ギルド一覧!$B$4:$R$29,7,FALSE)),(VLOOKUP($K$7,'モンスター　一覧'!$B$4:$O$198,10,FALSE)*性格一覧!$C23)*0.01*(VLOOKUP($L$3,ギルド一覧!$B$4:$R$29,13,FALSE)))</f>
        <v>54.6</v>
      </c>
      <c r="N32" s="193">
        <f>IF($L$4="通常",(VLOOKUP($K$7,'モンスター　一覧'!$B$4:$O$198,11,FALSE)*性格一覧!$D23)*0.01*(VLOOKUP($L$3,ギルド一覧!$B$4:$R$29,8,FALSE)),(VLOOKUP($K$7,'モンスター　一覧'!$B$4:$O$198,11,FALSE)*性格一覧!$D23)*0.01*(VLOOKUP($L$3,ギルド一覧!$B$4:$R$29,14,FALSE)))</f>
        <v>43.055999999999997</v>
      </c>
      <c r="O32" s="193">
        <f>IF($L$4="通常",(VLOOKUP($K$7,'モンスター　一覧'!$B$4:$O$198,12,FALSE)*性格一覧!$E23)*0.01*(VLOOKUP($L$3,ギルド一覧!$B$4:$R$29,9,FALSE)),(VLOOKUP($K$7,'モンスター　一覧'!$B$4:$O$198,12,FALSE)*性格一覧!$E23)*0.01*(VLOOKUP($L$3,ギルド一覧!$B$4:$R$29,15,FALSE)))</f>
        <v>287.42400000000004</v>
      </c>
      <c r="P32" s="193">
        <f>IF($L$4="通常",(VLOOKUP($K$7,'モンスター　一覧'!$B$4:$O$198,13,FALSE)*性格一覧!$F23)*0.01*(VLOOKUP($L$3,ギルド一覧!$B$4:$R$29,10,FALSE)),(VLOOKUP($K$7,'モンスター　一覧'!$B$4:$O$198,13,FALSE)*性格一覧!$F23)*0.01*(VLOOKUP($L$3,ギルド一覧!$B$4:$R$29,16,FALSE)))</f>
        <v>401.28000000000003</v>
      </c>
      <c r="Q32" s="194">
        <f>IF($L$4="通常",(VLOOKUP($K$7,'モンスター　一覧'!$B$4:$O$198,14,FALSE)*性格一覧!$G23)*0.01*(VLOOKUP($L$3,ギルド一覧!$B$4:$R$29,11,FALSE)),(VLOOKUP($K$7,'モンスター　一覧'!$B$4:$O$198,14,FALSE)*性格一覧!$G23)*0.01*(VLOOKUP($L$3,ギルド一覧!$B$4:$R$29,17,FALSE)))</f>
        <v>34.200000000000003</v>
      </c>
      <c r="R32" s="205">
        <f t="shared" si="1"/>
        <v>851.56000000000017</v>
      </c>
      <c r="T32" s="64" t="s">
        <v>37</v>
      </c>
      <c r="U32" s="193">
        <f>IF($U$4="通常",(VLOOKUP($T$7,'モンスター　一覧'!$B$4:$O$198,9,FALSE)*性格一覧!$B23)*0.01*(VLOOKUP($U$3,ギルド一覧!$B$4:$R$29,6,FALSE)),(VLOOKUP($T$7,'モンスター　一覧'!$B$4:$O$198,9,FALSE)*性格一覧!$B23)*0.01*(VLOOKUP($U$3,ギルド一覧!$B$4:$R$29,12,FALSE)))</f>
        <v>31</v>
      </c>
      <c r="V32" s="193">
        <f>IF($U$4="通常",(VLOOKUP($T$7,'モンスター　一覧'!$B$4:$O$198,10,FALSE)*性格一覧!$C23)*0.01*(VLOOKUP($U$3,ギルド一覧!$B$4:$R$29,7,FALSE)),(VLOOKUP($T$7,'モンスター　一覧'!$B$4:$O$198,10,FALSE)*性格一覧!$C23)*0.01*(VLOOKUP($U$3,ギルド一覧!$B$4:$R$29,13,FALSE)))</f>
        <v>54.6</v>
      </c>
      <c r="W32" s="193">
        <f>IF($U$4="通常",(VLOOKUP($T$7,'モンスター　一覧'!$B$4:$O$198,11,FALSE)*性格一覧!$D23)*0.01*(VLOOKUP($U$3,ギルド一覧!$B$4:$R$29,8,FALSE)),(VLOOKUP($T$7,'モンスター　一覧'!$B$4:$O$198,11,FALSE)*性格一覧!$D23)*0.01*(VLOOKUP($U$3,ギルド一覧!$B$4:$R$29,14,FALSE)))</f>
        <v>33.119999999999997</v>
      </c>
      <c r="X32" s="193">
        <f>IF($U$4="通常",(VLOOKUP($T$7,'モンスター　一覧'!$B$4:$O$198,12,FALSE)*性格一覧!$E23)*0.01*(VLOOKUP($U$3,ギルド一覧!$B$4:$R$29,9,FALSE)),(VLOOKUP($T$7,'モンスター　一覧'!$B$4:$O$198,12,FALSE)*性格一覧!$E23)*0.01*(VLOOKUP($U$3,ギルド一覧!$B$4:$R$29,15,FALSE)))</f>
        <v>319.36</v>
      </c>
      <c r="Y32" s="193">
        <f>IF($U$4="通常",(VLOOKUP($T$7,'モンスター　一覧'!$B$4:$O$198,13,FALSE)*性格一覧!$F23)*0.01*(VLOOKUP($U$3,ギルド一覧!$B$4:$R$29,10,FALSE)),(VLOOKUP($T$7,'モンスター　一覧'!$B$4:$O$198,13,FALSE)*性格一覧!$F23)*0.01*(VLOOKUP($U$3,ギルド一覧!$B$4:$R$29,16,FALSE)))</f>
        <v>401.28000000000003</v>
      </c>
      <c r="Z32" s="194">
        <f>IF($U$4="通常",(VLOOKUP($T$7,'モンスター　一覧'!$B$4:$O$198,14,FALSE)*性格一覧!$G23)*0.01*(VLOOKUP($U$3,ギルド一覧!$B$4:$R$29,11,FALSE)),(VLOOKUP($T$7,'モンスター　一覧'!$B$4:$O$198,14,FALSE)*性格一覧!$G23)*0.01*(VLOOKUP($U$3,ギルド一覧!$B$4:$R$29,17,FALSE)))</f>
        <v>34.200000000000003</v>
      </c>
      <c r="AA32" s="205">
        <f t="shared" si="2"/>
        <v>873.56000000000017</v>
      </c>
      <c r="AC32" s="152" t="s">
        <v>97</v>
      </c>
      <c r="AD32" s="150"/>
    </row>
    <row r="33" spans="2:30" s="55" customFormat="1" ht="12">
      <c r="B33" s="64" t="s">
        <v>38</v>
      </c>
      <c r="C33" s="193">
        <f>IF($C$4="通常",(VLOOKUP($B$7,'モンスター　一覧'!$B$4:$O$198,9,FALSE)*性格一覧!$B24)*0.01*(VLOOKUP($C$3,ギルド一覧!$B$4:$R$29,6,FALSE)),(VLOOKUP($B$7,'モンスター　一覧'!$B$4:$O$198,9,FALSE)*性格一覧!$B24)*0.01*(VLOOKUP($C$3,ギルド一覧!$B$4:$R$29,12,FALSE)))</f>
        <v>150.38</v>
      </c>
      <c r="D33" s="193">
        <f>IF($C$4="通常",(VLOOKUP($B$7,'モンスター　一覧'!$B$4:$O$198,10,FALSE)*性格一覧!$C24)*0.01*(VLOOKUP($C$3,ギルド一覧!$B$4:$R$29,7,FALSE)),(VLOOKUP($B$7,'モンスター　一覧'!$B$4:$O$198,10,FALSE)*性格一覧!$C24)*0.01*(VLOOKUP($C$3,ギルド一覧!$B$4:$R$29,13,FALSE)))</f>
        <v>52.56</v>
      </c>
      <c r="E33" s="193">
        <f>IF($C$4="通常",(VLOOKUP($B$7,'モンスター　一覧'!$B$4:$O$198,11,FALSE)*性格一覧!$D24)*0.01*(VLOOKUP($C$3,ギルド一覧!$B$4:$R$29,8,FALSE)),(VLOOKUP($B$7,'モンスター　一覧'!$B$4:$O$198,11,FALSE)*性格一覧!$D24)*0.01*(VLOOKUP($C$3,ギルド一覧!$B$4:$R$29,14,FALSE)))</f>
        <v>69</v>
      </c>
      <c r="F33" s="193">
        <f>IF($C$4="通常",(VLOOKUP($B$7,'モンスター　一覧'!$B$4:$O$198,12,FALSE)*性格一覧!$E24)*0.01*(VLOOKUP($C$3,ギルド一覧!$B$4:$R$29,9,FALSE)),(VLOOKUP($B$7,'モンスター　一覧'!$B$4:$O$198,12,FALSE)*性格一覧!$E24)*0.01*(VLOOKUP($C$3,ギルド一覧!$B$4:$R$29,15,FALSE)))</f>
        <v>88.56</v>
      </c>
      <c r="G33" s="193">
        <f>IF($C$4="通常",(VLOOKUP($B$7,'モンスター　一覧'!$B$4:$O$198,13,FALSE)*性格一覧!$F24)*0.01*(VLOOKUP($C$3,ギルド一覧!$B$4:$R$29,10,FALSE)),(VLOOKUP($B$7,'モンスター　一覧'!$B$4:$O$198,13,FALSE)*性格一覧!$F24)*0.01*(VLOOKUP($C$3,ギルド一覧!$B$4:$R$29,16,FALSE)))</f>
        <v>84.8</v>
      </c>
      <c r="H33" s="194">
        <f>IF($C$4="通常",(VLOOKUP($B$7,'モンスター　一覧'!$B$4:$O$198,14,FALSE)*性格一覧!$G24)*0.01*(VLOOKUP($C$3,ギルド一覧!$B$4:$R$29,11,FALSE)),(VLOOKUP($B$7,'モンスター　一覧'!$B$4:$O$198,14,FALSE)*性格一覧!$G24)*0.01*(VLOOKUP($C$3,ギルド一覧!$B$4:$R$29,17,FALSE)))</f>
        <v>126.28</v>
      </c>
      <c r="I33" s="205">
        <f t="shared" si="0"/>
        <v>571.58000000000004</v>
      </c>
      <c r="J33" s="56"/>
      <c r="K33" s="64" t="s">
        <v>38</v>
      </c>
      <c r="L33" s="193">
        <f>IF($L$4="通常",(VLOOKUP($K$7,'モンスター　一覧'!$B$4:$O$198,9,FALSE)*性格一覧!$B24)*0.01*(VLOOKUP($L$3,ギルド一覧!$B$4:$R$29,6,FALSE)),(VLOOKUP($K$7,'モンスター　一覧'!$B$4:$O$198,9,FALSE)*性格一覧!$B24)*0.01*(VLOOKUP($L$3,ギルド一覧!$B$4:$R$29,12,FALSE)))</f>
        <v>31.93</v>
      </c>
      <c r="M33" s="193">
        <f>IF($L$4="通常",(VLOOKUP($K$7,'モンスター　一覧'!$B$4:$O$198,10,FALSE)*性格一覧!$C24)*0.01*(VLOOKUP($L$3,ギルド一覧!$B$4:$R$29,7,FALSE)),(VLOOKUP($K$7,'モンスター　一覧'!$B$4:$O$198,10,FALSE)*性格一覧!$C24)*0.01*(VLOOKUP($L$3,ギルド一覧!$B$4:$R$29,13,FALSE)))</f>
        <v>28.080000000000002</v>
      </c>
      <c r="N33" s="193">
        <f>IF($L$4="通常",(VLOOKUP($K$7,'モンスター　一覧'!$B$4:$O$198,11,FALSE)*性格一覧!$D24)*0.01*(VLOOKUP($L$3,ギルド一覧!$B$4:$R$29,8,FALSE)),(VLOOKUP($K$7,'モンスター　一覧'!$B$4:$O$198,11,FALSE)*性格一覧!$D24)*0.01*(VLOOKUP($L$3,ギルド一覧!$B$4:$R$29,14,FALSE)))</f>
        <v>46.800000000000004</v>
      </c>
      <c r="O33" s="193">
        <f>IF($L$4="通常",(VLOOKUP($K$7,'モンスター　一覧'!$B$4:$O$198,12,FALSE)*性格一覧!$E24)*0.01*(VLOOKUP($L$3,ギルド一覧!$B$4:$R$29,9,FALSE)),(VLOOKUP($K$7,'モンスター　一覧'!$B$4:$O$198,12,FALSE)*性格一覧!$E24)*0.01*(VLOOKUP($L$3,ギルド一覧!$B$4:$R$29,15,FALSE)))</f>
        <v>485.02799999999996</v>
      </c>
      <c r="P33" s="193">
        <f>IF($L$4="通常",(VLOOKUP($K$7,'モンスター　一覧'!$B$4:$O$198,13,FALSE)*性格一覧!$F24)*0.01*(VLOOKUP($L$3,ギルド一覧!$B$4:$R$29,10,FALSE)),(VLOOKUP($K$7,'モンスター　一覧'!$B$4:$O$198,13,FALSE)*性格一覧!$F24)*0.01*(VLOOKUP($L$3,ギルド一覧!$B$4:$R$29,16,FALSE)))</f>
        <v>373.12</v>
      </c>
      <c r="Q33" s="194">
        <f>IF($L$4="通常",(VLOOKUP($K$7,'モンスター　一覧'!$B$4:$O$198,14,FALSE)*性格一覧!$G24)*0.01*(VLOOKUP($L$3,ギルド一覧!$B$4:$R$29,11,FALSE)),(VLOOKUP($K$7,'モンスター　一覧'!$B$4:$O$198,14,FALSE)*性格一覧!$G24)*0.01*(VLOOKUP($L$3,ギルド一覧!$B$4:$R$29,17,FALSE)))</f>
        <v>36.9</v>
      </c>
      <c r="R33" s="205">
        <f t="shared" si="1"/>
        <v>1001.8579999999999</v>
      </c>
      <c r="T33" s="64" t="s">
        <v>38</v>
      </c>
      <c r="U33" s="193">
        <f>IF($U$4="通常",(VLOOKUP($T$7,'モンスター　一覧'!$B$4:$O$198,9,FALSE)*性格一覧!$B24)*0.01*(VLOOKUP($U$3,ギルド一覧!$B$4:$R$29,6,FALSE)),(VLOOKUP($T$7,'モンスター　一覧'!$B$4:$O$198,9,FALSE)*性格一覧!$B24)*0.01*(VLOOKUP($U$3,ギルド一覧!$B$4:$R$29,12,FALSE)))</f>
        <v>31.93</v>
      </c>
      <c r="V33" s="193">
        <f>IF($U$4="通常",(VLOOKUP($T$7,'モンスター　一覧'!$B$4:$O$198,10,FALSE)*性格一覧!$C24)*0.01*(VLOOKUP($U$3,ギルド一覧!$B$4:$R$29,7,FALSE)),(VLOOKUP($T$7,'モンスター　一覧'!$B$4:$O$198,10,FALSE)*性格一覧!$C24)*0.01*(VLOOKUP($U$3,ギルド一覧!$B$4:$R$29,13,FALSE)))</f>
        <v>28.080000000000002</v>
      </c>
      <c r="W33" s="193">
        <f>IF($U$4="通常",(VLOOKUP($T$7,'モンスター　一覧'!$B$4:$O$198,11,FALSE)*性格一覧!$D24)*0.01*(VLOOKUP($U$3,ギルド一覧!$B$4:$R$29,8,FALSE)),(VLOOKUP($T$7,'モンスター　一覧'!$B$4:$O$198,11,FALSE)*性格一覧!$D24)*0.01*(VLOOKUP($U$3,ギルド一覧!$B$4:$R$29,14,FALSE)))</f>
        <v>36</v>
      </c>
      <c r="X33" s="193">
        <f>IF($U$4="通常",(VLOOKUP($T$7,'モンスター　一覧'!$B$4:$O$198,12,FALSE)*性格一覧!$E24)*0.01*(VLOOKUP($U$3,ギルド一覧!$B$4:$R$29,9,FALSE)),(VLOOKUP($T$7,'モンスター　一覧'!$B$4:$O$198,12,FALSE)*性格一覧!$E24)*0.01*(VLOOKUP($U$3,ギルド一覧!$B$4:$R$29,15,FALSE)))</f>
        <v>538.91999999999996</v>
      </c>
      <c r="Y33" s="193">
        <f>IF($U$4="通常",(VLOOKUP($T$7,'モンスター　一覧'!$B$4:$O$198,13,FALSE)*性格一覧!$F24)*0.01*(VLOOKUP($U$3,ギルド一覧!$B$4:$R$29,10,FALSE)),(VLOOKUP($T$7,'モンスター　一覧'!$B$4:$O$198,13,FALSE)*性格一覧!$F24)*0.01*(VLOOKUP($U$3,ギルド一覧!$B$4:$R$29,16,FALSE)))</f>
        <v>373.12</v>
      </c>
      <c r="Z33" s="194">
        <f>IF($U$4="通常",(VLOOKUP($T$7,'モンスター　一覧'!$B$4:$O$198,14,FALSE)*性格一覧!$G24)*0.01*(VLOOKUP($U$3,ギルド一覧!$B$4:$R$29,11,FALSE)),(VLOOKUP($T$7,'モンスター　一覧'!$B$4:$O$198,14,FALSE)*性格一覧!$G24)*0.01*(VLOOKUP($U$3,ギルド一覧!$B$4:$R$29,17,FALSE)))</f>
        <v>36.9</v>
      </c>
      <c r="AA33" s="205">
        <f t="shared" si="2"/>
        <v>1044.95</v>
      </c>
      <c r="AC33" s="152" t="s">
        <v>107</v>
      </c>
      <c r="AD33" s="150"/>
    </row>
    <row r="34" spans="2:30" s="55" customFormat="1" ht="12">
      <c r="B34" s="64" t="s">
        <v>40</v>
      </c>
      <c r="C34" s="193">
        <f>IF($C$4="通常",(VLOOKUP($B$7,'モンスター　一覧'!$B$4:$O$198,9,FALSE)*性格一覧!$B25)*0.01*(VLOOKUP($C$3,ギルド一覧!$B$4:$R$29,6,FALSE)),(VLOOKUP($B$7,'モンスター　一覧'!$B$4:$O$198,9,FALSE)*性格一覧!$B25)*0.01*(VLOOKUP($C$3,ギルド一覧!$B$4:$R$29,12,FALSE)))</f>
        <v>112.42</v>
      </c>
      <c r="D34" s="193">
        <f>IF($C$4="通常",(VLOOKUP($B$7,'モンスター　一覧'!$B$4:$O$198,10,FALSE)*性格一覧!$C25)*0.01*(VLOOKUP($C$3,ギルド一覧!$B$4:$R$29,7,FALSE)),(VLOOKUP($B$7,'モンスター　一覧'!$B$4:$O$198,10,FALSE)*性格一覧!$C25)*0.01*(VLOOKUP($C$3,ギルド一覧!$B$4:$R$29,13,FALSE)))</f>
        <v>46.72</v>
      </c>
      <c r="E34" s="193">
        <f>IF($C$4="通常",(VLOOKUP($B$7,'モンスター　一覧'!$B$4:$O$198,11,FALSE)*性格一覧!$D25)*0.01*(VLOOKUP($C$3,ギルド一覧!$B$4:$R$29,8,FALSE)),(VLOOKUP($B$7,'モンスター　一覧'!$B$4:$O$198,11,FALSE)*性格一覧!$D25)*0.01*(VLOOKUP($C$3,ギルド一覧!$B$4:$R$29,14,FALSE)))</f>
        <v>63.480000000000004</v>
      </c>
      <c r="F34" s="193">
        <f>IF($C$4="通常",(VLOOKUP($B$7,'モンスター　一覧'!$B$4:$O$198,12,FALSE)*性格一覧!$E25)*0.01*(VLOOKUP($C$3,ギルド一覧!$B$4:$R$29,9,FALSE)),(VLOOKUP($B$7,'モンスター　一覧'!$B$4:$O$198,12,FALSE)*性格一覧!$E25)*0.01*(VLOOKUP($C$3,ギルド一覧!$B$4:$R$29,15,FALSE)))</f>
        <v>77.08</v>
      </c>
      <c r="G34" s="193">
        <f>IF($C$4="通常",(VLOOKUP($B$7,'モンスター　一覧'!$B$4:$O$198,13,FALSE)*性格一覧!$F25)*0.01*(VLOOKUP($C$3,ギルド一覧!$B$4:$R$29,10,FALSE)),(VLOOKUP($B$7,'モンスター　一覧'!$B$4:$O$198,13,FALSE)*性格一覧!$F25)*0.01*(VLOOKUP($C$3,ギルド一覧!$B$4:$R$29,16,FALSE)))</f>
        <v>94.4</v>
      </c>
      <c r="H34" s="194">
        <f>IF($C$4="通常",(VLOOKUP($B$7,'モンスター　一覧'!$B$4:$O$198,14,FALSE)*性格一覧!$G25)*0.01*(VLOOKUP($C$3,ギルド一覧!$B$4:$R$29,11,FALSE)),(VLOOKUP($B$7,'モンスター　一覧'!$B$4:$O$198,14,FALSE)*性格一覧!$G25)*0.01*(VLOOKUP($C$3,ギルド一覧!$B$4:$R$29,17,FALSE)))</f>
        <v>174.02</v>
      </c>
      <c r="I34" s="205">
        <f t="shared" si="0"/>
        <v>568.12</v>
      </c>
      <c r="J34" s="56"/>
      <c r="K34" s="64" t="s">
        <v>40</v>
      </c>
      <c r="L34" s="193">
        <f>IF($L$4="通常",(VLOOKUP($K$7,'モンスター　一覧'!$B$4:$O$198,9,FALSE)*性格一覧!$B25)*0.01*(VLOOKUP($L$3,ギルド一覧!$B$4:$R$29,6,FALSE)),(VLOOKUP($K$7,'モンスター　一覧'!$B$4:$O$198,9,FALSE)*性格一覧!$B25)*0.01*(VLOOKUP($L$3,ギルド一覧!$B$4:$R$29,12,FALSE)))</f>
        <v>23.87</v>
      </c>
      <c r="M34" s="193">
        <f>IF($L$4="通常",(VLOOKUP($K$7,'モンスター　一覧'!$B$4:$O$198,10,FALSE)*性格一覧!$C25)*0.01*(VLOOKUP($L$3,ギルド一覧!$B$4:$R$29,7,FALSE)),(VLOOKUP($K$7,'モンスター　一覧'!$B$4:$O$198,10,FALSE)*性格一覧!$C25)*0.01*(VLOOKUP($L$3,ギルド一覧!$B$4:$R$29,13,FALSE)))</f>
        <v>24.96</v>
      </c>
      <c r="N34" s="193">
        <f>IF($L$4="通常",(VLOOKUP($K$7,'モンスター　一覧'!$B$4:$O$198,11,FALSE)*性格一覧!$D25)*0.01*(VLOOKUP($L$3,ギルド一覧!$B$4:$R$29,8,FALSE)),(VLOOKUP($K$7,'モンスター　一覧'!$B$4:$O$198,11,FALSE)*性格一覧!$D25)*0.01*(VLOOKUP($L$3,ギルド一覧!$B$4:$R$29,14,FALSE)))</f>
        <v>43.055999999999997</v>
      </c>
      <c r="O34" s="193">
        <f>IF($L$4="通常",(VLOOKUP($K$7,'モンスター　一覧'!$B$4:$O$198,12,FALSE)*性格一覧!$E25)*0.01*(VLOOKUP($L$3,ギルド一覧!$B$4:$R$29,9,FALSE)),(VLOOKUP($K$7,'モンスター　一覧'!$B$4:$O$198,12,FALSE)*性格一覧!$E25)*0.01*(VLOOKUP($L$3,ギルド一覧!$B$4:$R$29,15,FALSE)))</f>
        <v>422.154</v>
      </c>
      <c r="P34" s="193">
        <f>IF($L$4="通常",(VLOOKUP($K$7,'モンスター　一覧'!$B$4:$O$198,13,FALSE)*性格一覧!$F25)*0.01*(VLOOKUP($L$3,ギルド一覧!$B$4:$R$29,10,FALSE)),(VLOOKUP($K$7,'モンスター　一覧'!$B$4:$O$198,13,FALSE)*性格一覧!$F25)*0.01*(VLOOKUP($L$3,ギルド一覧!$B$4:$R$29,16,FALSE)))</f>
        <v>415.36</v>
      </c>
      <c r="Q34" s="194">
        <f>IF($L$4="通常",(VLOOKUP($K$7,'モンスター　一覧'!$B$4:$O$198,14,FALSE)*性格一覧!$G25)*0.01*(VLOOKUP($L$3,ギルド一覧!$B$4:$R$29,11,FALSE)),(VLOOKUP($K$7,'モンスター　一覧'!$B$4:$O$198,14,FALSE)*性格一覧!$G25)*0.01*(VLOOKUP($L$3,ギルド一覧!$B$4:$R$29,17,FALSE)))</f>
        <v>50.85</v>
      </c>
      <c r="R34" s="205">
        <f t="shared" si="1"/>
        <v>980.25</v>
      </c>
      <c r="T34" s="64" t="s">
        <v>40</v>
      </c>
      <c r="U34" s="193">
        <f>IF($U$4="通常",(VLOOKUP($T$7,'モンスター　一覧'!$B$4:$O$198,9,FALSE)*性格一覧!$B25)*0.01*(VLOOKUP($U$3,ギルド一覧!$B$4:$R$29,6,FALSE)),(VLOOKUP($T$7,'モンスター　一覧'!$B$4:$O$198,9,FALSE)*性格一覧!$B25)*0.01*(VLOOKUP($U$3,ギルド一覧!$B$4:$R$29,12,FALSE)))</f>
        <v>23.87</v>
      </c>
      <c r="V34" s="193">
        <f>IF($U$4="通常",(VLOOKUP($T$7,'モンスター　一覧'!$B$4:$O$198,10,FALSE)*性格一覧!$C25)*0.01*(VLOOKUP($U$3,ギルド一覧!$B$4:$R$29,7,FALSE)),(VLOOKUP($T$7,'モンスター　一覧'!$B$4:$O$198,10,FALSE)*性格一覧!$C25)*0.01*(VLOOKUP($U$3,ギルド一覧!$B$4:$R$29,13,FALSE)))</f>
        <v>24.96</v>
      </c>
      <c r="W34" s="193">
        <f>IF($U$4="通常",(VLOOKUP($T$7,'モンスター　一覧'!$B$4:$O$198,11,FALSE)*性格一覧!$D25)*0.01*(VLOOKUP($U$3,ギルド一覧!$B$4:$R$29,8,FALSE)),(VLOOKUP($T$7,'モンスター　一覧'!$B$4:$O$198,11,FALSE)*性格一覧!$D25)*0.01*(VLOOKUP($U$3,ギルド一覧!$B$4:$R$29,14,FALSE)))</f>
        <v>33.119999999999997</v>
      </c>
      <c r="X34" s="193">
        <f>IF($U$4="通常",(VLOOKUP($T$7,'モンスター　一覧'!$B$4:$O$198,12,FALSE)*性格一覧!$E25)*0.01*(VLOOKUP($U$3,ギルド一覧!$B$4:$R$29,9,FALSE)),(VLOOKUP($T$7,'モンスター　一覧'!$B$4:$O$198,12,FALSE)*性格一覧!$E25)*0.01*(VLOOKUP($U$3,ギルド一覧!$B$4:$R$29,15,FALSE)))</f>
        <v>469.06</v>
      </c>
      <c r="Y34" s="193">
        <f>IF($U$4="通常",(VLOOKUP($T$7,'モンスター　一覧'!$B$4:$O$198,13,FALSE)*性格一覧!$F25)*0.01*(VLOOKUP($U$3,ギルド一覧!$B$4:$R$29,10,FALSE)),(VLOOKUP($T$7,'モンスター　一覧'!$B$4:$O$198,13,FALSE)*性格一覧!$F25)*0.01*(VLOOKUP($U$3,ギルド一覧!$B$4:$R$29,16,FALSE)))</f>
        <v>415.36</v>
      </c>
      <c r="Z34" s="194">
        <f>IF($U$4="通常",(VLOOKUP($T$7,'モンスター　一覧'!$B$4:$O$198,14,FALSE)*性格一覧!$G25)*0.01*(VLOOKUP($U$3,ギルド一覧!$B$4:$R$29,11,FALSE)),(VLOOKUP($T$7,'モンスター　一覧'!$B$4:$O$198,14,FALSE)*性格一覧!$G25)*0.01*(VLOOKUP($U$3,ギルド一覧!$B$4:$R$29,17,FALSE)))</f>
        <v>50.85</v>
      </c>
      <c r="AA34" s="205">
        <f t="shared" si="2"/>
        <v>1017.22</v>
      </c>
      <c r="AC34" s="152" t="s">
        <v>233</v>
      </c>
      <c r="AD34" s="150"/>
    </row>
    <row r="35" spans="2:30" s="55" customFormat="1" ht="12">
      <c r="B35" s="64" t="s">
        <v>39</v>
      </c>
      <c r="C35" s="193">
        <f>IF($C$4="通常",(VLOOKUP($B$7,'モンスター　一覧'!$B$4:$O$198,9,FALSE)*性格一覧!$B26)*0.01*(VLOOKUP($C$3,ギルド一覧!$B$4:$R$29,6,FALSE)),(VLOOKUP($B$7,'モンスター　一覧'!$B$4:$O$198,9,FALSE)*性格一覧!$B26)*0.01*(VLOOKUP($C$3,ギルド一覧!$B$4:$R$29,12,FALSE)))</f>
        <v>103.66</v>
      </c>
      <c r="D35" s="193">
        <f>IF($C$4="通常",(VLOOKUP($B$7,'モンスター　一覧'!$B$4:$O$198,10,FALSE)*性格一覧!$C26)*0.01*(VLOOKUP($C$3,ギルド一覧!$B$4:$R$29,7,FALSE)),(VLOOKUP($B$7,'モンスター　一覧'!$B$4:$O$198,10,FALSE)*性格一覧!$C26)*0.01*(VLOOKUP($C$3,ギルド一覧!$B$4:$R$29,13,FALSE)))</f>
        <v>67.16</v>
      </c>
      <c r="E35" s="193">
        <f>IF($C$4="通常",(VLOOKUP($B$7,'モンスター　一覧'!$B$4:$O$198,11,FALSE)*性格一覧!$D26)*0.01*(VLOOKUP($C$3,ギルド一覧!$B$4:$R$29,8,FALSE)),(VLOOKUP($B$7,'モンスター　一覧'!$B$4:$O$198,11,FALSE)*性格一覧!$D26)*0.01*(VLOOKUP($C$3,ギルド一覧!$B$4:$R$29,14,FALSE)))</f>
        <v>66.239999999999995</v>
      </c>
      <c r="F35" s="193">
        <f>IF($C$4="通常",(VLOOKUP($B$7,'モンスター　一覧'!$B$4:$O$198,12,FALSE)*性格一覧!$E26)*0.01*(VLOOKUP($C$3,ギルド一覧!$B$4:$R$29,9,FALSE)),(VLOOKUP($B$7,'モンスター　一覧'!$B$4:$O$198,12,FALSE)*性格一覧!$E26)*0.01*(VLOOKUP($C$3,ギルド一覧!$B$4:$R$29,15,FALSE)))</f>
        <v>88.56</v>
      </c>
      <c r="G35" s="193">
        <f>IF($C$4="通常",(VLOOKUP($B$7,'モンスター　一覧'!$B$4:$O$198,13,FALSE)*性格一覧!$F26)*0.01*(VLOOKUP($C$3,ギルド一覧!$B$4:$R$29,10,FALSE)),(VLOOKUP($B$7,'モンスター　一覧'!$B$4:$O$198,13,FALSE)*性格一覧!$F26)*0.01*(VLOOKUP($C$3,ギルド一覧!$B$4:$R$29,16,FALSE)))</f>
        <v>92</v>
      </c>
      <c r="H35" s="194">
        <f>IF($C$4="通常",(VLOOKUP($B$7,'モンスター　一覧'!$B$4:$O$198,14,FALSE)*性格一覧!$G26)*0.01*(VLOOKUP($C$3,ギルド一覧!$B$4:$R$29,11,FALSE)),(VLOOKUP($B$7,'モンスター　一覧'!$B$4:$O$198,14,FALSE)*性格一覧!$G26)*0.01*(VLOOKUP($C$3,ギルド一覧!$B$4:$R$29,17,FALSE)))</f>
        <v>218.68</v>
      </c>
      <c r="I35" s="205">
        <f t="shared" si="0"/>
        <v>636.29999999999995</v>
      </c>
      <c r="J35" s="56"/>
      <c r="K35" s="64" t="s">
        <v>39</v>
      </c>
      <c r="L35" s="193">
        <f>IF($L$4="通常",(VLOOKUP($K$7,'モンスター　一覧'!$B$4:$O$198,9,FALSE)*性格一覧!$B26)*0.01*(VLOOKUP($L$3,ギルド一覧!$B$4:$R$29,6,FALSE)),(VLOOKUP($K$7,'モンスター　一覧'!$B$4:$O$198,9,FALSE)*性格一覧!$B26)*0.01*(VLOOKUP($L$3,ギルド一覧!$B$4:$R$29,12,FALSE)))</f>
        <v>22.01</v>
      </c>
      <c r="M35" s="193">
        <f>IF($L$4="通常",(VLOOKUP($K$7,'モンスター　一覧'!$B$4:$O$198,10,FALSE)*性格一覧!$C26)*0.01*(VLOOKUP($L$3,ギルド一覧!$B$4:$R$29,7,FALSE)),(VLOOKUP($K$7,'モンスター　一覧'!$B$4:$O$198,10,FALSE)*性格一覧!$C26)*0.01*(VLOOKUP($L$3,ギルド一覧!$B$4:$R$29,13,FALSE)))</f>
        <v>35.880000000000003</v>
      </c>
      <c r="N35" s="193">
        <f>IF($L$4="通常",(VLOOKUP($K$7,'モンスター　一覧'!$B$4:$O$198,11,FALSE)*性格一覧!$D26)*0.01*(VLOOKUP($L$3,ギルド一覧!$B$4:$R$29,8,FALSE)),(VLOOKUP($K$7,'モンスター　一覧'!$B$4:$O$198,11,FALSE)*性格一覧!$D26)*0.01*(VLOOKUP($L$3,ギルド一覧!$B$4:$R$29,14,FALSE)))</f>
        <v>44.928000000000004</v>
      </c>
      <c r="O35" s="193">
        <f>IF($L$4="通常",(VLOOKUP($K$7,'モンスター　一覧'!$B$4:$O$198,12,FALSE)*性格一覧!$E26)*0.01*(VLOOKUP($L$3,ギルド一覧!$B$4:$R$29,9,FALSE)),(VLOOKUP($K$7,'モンスター　一覧'!$B$4:$O$198,12,FALSE)*性格一覧!$E26)*0.01*(VLOOKUP($L$3,ギルド一覧!$B$4:$R$29,15,FALSE)))</f>
        <v>485.02799999999996</v>
      </c>
      <c r="P35" s="193">
        <f>IF($L$4="通常",(VLOOKUP($K$7,'モンスター　一覧'!$B$4:$O$198,13,FALSE)*性格一覧!$F26)*0.01*(VLOOKUP($L$3,ギルド一覧!$B$4:$R$29,10,FALSE)),(VLOOKUP($K$7,'モンスター　一覧'!$B$4:$O$198,13,FALSE)*性格一覧!$F26)*0.01*(VLOOKUP($L$3,ギルド一覧!$B$4:$R$29,16,FALSE)))</f>
        <v>404.8</v>
      </c>
      <c r="Q35" s="194">
        <f>IF($L$4="通常",(VLOOKUP($K$7,'モンスター　一覧'!$B$4:$O$198,14,FALSE)*性格一覧!$G26)*0.01*(VLOOKUP($L$3,ギルド一覧!$B$4:$R$29,11,FALSE)),(VLOOKUP($K$7,'モンスター　一覧'!$B$4:$O$198,14,FALSE)*性格一覧!$G26)*0.01*(VLOOKUP($L$3,ギルド一覧!$B$4:$R$29,17,FALSE)))</f>
        <v>63.9</v>
      </c>
      <c r="R35" s="205">
        <f t="shared" si="1"/>
        <v>1056.546</v>
      </c>
      <c r="T35" s="64" t="s">
        <v>39</v>
      </c>
      <c r="U35" s="193">
        <f>IF($U$4="通常",(VLOOKUP($T$7,'モンスター　一覧'!$B$4:$O$198,9,FALSE)*性格一覧!$B26)*0.01*(VLOOKUP($U$3,ギルド一覧!$B$4:$R$29,6,FALSE)),(VLOOKUP($T$7,'モンスター　一覧'!$B$4:$O$198,9,FALSE)*性格一覧!$B26)*0.01*(VLOOKUP($U$3,ギルド一覧!$B$4:$R$29,12,FALSE)))</f>
        <v>22.01</v>
      </c>
      <c r="V35" s="193">
        <f>IF($U$4="通常",(VLOOKUP($T$7,'モンスター　一覧'!$B$4:$O$198,10,FALSE)*性格一覧!$C26)*0.01*(VLOOKUP($U$3,ギルド一覧!$B$4:$R$29,7,FALSE)),(VLOOKUP($T$7,'モンスター　一覧'!$B$4:$O$198,10,FALSE)*性格一覧!$C26)*0.01*(VLOOKUP($U$3,ギルド一覧!$B$4:$R$29,13,FALSE)))</f>
        <v>35.880000000000003</v>
      </c>
      <c r="W35" s="193">
        <f>IF($U$4="通常",(VLOOKUP($T$7,'モンスター　一覧'!$B$4:$O$198,11,FALSE)*性格一覧!$D26)*0.01*(VLOOKUP($U$3,ギルド一覧!$B$4:$R$29,8,FALSE)),(VLOOKUP($T$7,'モンスター　一覧'!$B$4:$O$198,11,FALSE)*性格一覧!$D26)*0.01*(VLOOKUP($U$3,ギルド一覧!$B$4:$R$29,14,FALSE)))</f>
        <v>34.56</v>
      </c>
      <c r="X35" s="193">
        <f>IF($U$4="通常",(VLOOKUP($T$7,'モンスター　一覧'!$B$4:$O$198,12,FALSE)*性格一覧!$E26)*0.01*(VLOOKUP($U$3,ギルド一覧!$B$4:$R$29,9,FALSE)),(VLOOKUP($T$7,'モンスター　一覧'!$B$4:$O$198,12,FALSE)*性格一覧!$E26)*0.01*(VLOOKUP($U$3,ギルド一覧!$B$4:$R$29,15,FALSE)))</f>
        <v>538.91999999999996</v>
      </c>
      <c r="Y35" s="193">
        <f>IF($U$4="通常",(VLOOKUP($T$7,'モンスター　一覧'!$B$4:$O$198,13,FALSE)*性格一覧!$F26)*0.01*(VLOOKUP($U$3,ギルド一覧!$B$4:$R$29,10,FALSE)),(VLOOKUP($T$7,'モンスター　一覧'!$B$4:$O$198,13,FALSE)*性格一覧!$F26)*0.01*(VLOOKUP($U$3,ギルド一覧!$B$4:$R$29,16,FALSE)))</f>
        <v>404.8</v>
      </c>
      <c r="Z35" s="194">
        <f>IF($U$4="通常",(VLOOKUP($T$7,'モンスター　一覧'!$B$4:$O$198,14,FALSE)*性格一覧!$G26)*0.01*(VLOOKUP($U$3,ギルド一覧!$B$4:$R$29,11,FALSE)),(VLOOKUP($T$7,'モンスター　一覧'!$B$4:$O$198,14,FALSE)*性格一覧!$G26)*0.01*(VLOOKUP($U$3,ギルド一覧!$B$4:$R$29,17,FALSE)))</f>
        <v>63.9</v>
      </c>
      <c r="AA35" s="205">
        <f t="shared" si="2"/>
        <v>1100.0700000000002</v>
      </c>
      <c r="AC35" s="152" t="s">
        <v>251</v>
      </c>
      <c r="AD35" s="150"/>
    </row>
    <row r="36" spans="2:30" s="55" customFormat="1" ht="12">
      <c r="B36" s="64" t="s">
        <v>42</v>
      </c>
      <c r="C36" s="193">
        <f>IF($C$4="通常",(VLOOKUP($B$7,'モンスター　一覧'!$B$4:$O$198,9,FALSE)*性格一覧!$B27)*0.01*(VLOOKUP($C$3,ギルド一覧!$B$4:$R$29,6,FALSE)),(VLOOKUP($B$7,'モンスター　一覧'!$B$4:$O$198,9,FALSE)*性格一覧!$B27)*0.01*(VLOOKUP($C$3,ギルド一覧!$B$4:$R$29,12,FALSE)))</f>
        <v>137.24</v>
      </c>
      <c r="D36" s="193">
        <f>IF($C$4="通常",(VLOOKUP($B$7,'モンスター　一覧'!$B$4:$O$198,10,FALSE)*性格一覧!$C27)*0.01*(VLOOKUP($C$3,ギルド一覧!$B$4:$R$29,7,FALSE)),(VLOOKUP($B$7,'モンスター　一覧'!$B$4:$O$198,10,FALSE)*性格一覧!$C27)*0.01*(VLOOKUP($C$3,ギルド一覧!$B$4:$R$29,13,FALSE)))</f>
        <v>59.13</v>
      </c>
      <c r="E36" s="193">
        <f>IF($C$4="通常",(VLOOKUP($B$7,'モンスター　一覧'!$B$4:$O$198,11,FALSE)*性格一覧!$D27)*0.01*(VLOOKUP($C$3,ギルド一覧!$B$4:$R$29,8,FALSE)),(VLOOKUP($B$7,'モンスター　一覧'!$B$4:$O$198,11,FALSE)*性格一覧!$D27)*0.01*(VLOOKUP($C$3,ギルド一覧!$B$4:$R$29,14,FALSE)))</f>
        <v>69</v>
      </c>
      <c r="F36" s="193">
        <f>IF($C$4="通常",(VLOOKUP($B$7,'モンスター　一覧'!$B$4:$O$198,12,FALSE)*性格一覧!$E27)*0.01*(VLOOKUP($C$3,ギルド一覧!$B$4:$R$29,9,FALSE)),(VLOOKUP($B$7,'モンスター　一覧'!$B$4:$O$198,12,FALSE)*性格一覧!$E27)*0.01*(VLOOKUP($C$3,ギルド一覧!$B$4:$R$29,15,FALSE)))</f>
        <v>63.14</v>
      </c>
      <c r="G36" s="193">
        <f>IF($C$4="通常",(VLOOKUP($B$7,'モンスター　一覧'!$B$4:$O$198,13,FALSE)*性格一覧!$F27)*0.01*(VLOOKUP($C$3,ギルド一覧!$B$4:$R$29,10,FALSE)),(VLOOKUP($B$7,'モンスター　一覧'!$B$4:$O$198,13,FALSE)*性格一覧!$F27)*0.01*(VLOOKUP($C$3,ギルド一覧!$B$4:$R$29,16,FALSE)))</f>
        <v>84.8</v>
      </c>
      <c r="H36" s="194">
        <f>IF($C$4="通常",(VLOOKUP($B$7,'モンスター　一覧'!$B$4:$O$198,14,FALSE)*性格一覧!$G27)*0.01*(VLOOKUP($C$3,ギルド一覧!$B$4:$R$29,11,FALSE)),(VLOOKUP($B$7,'モンスター　一覧'!$B$4:$O$198,14,FALSE)*性格一覧!$G27)*0.01*(VLOOKUP($C$3,ギルド一覧!$B$4:$R$29,17,FALSE)))</f>
        <v>115.5</v>
      </c>
      <c r="I36" s="205">
        <f t="shared" si="0"/>
        <v>528.80999999999995</v>
      </c>
      <c r="J36" s="56"/>
      <c r="K36" s="64" t="s">
        <v>42</v>
      </c>
      <c r="L36" s="193">
        <f>IF($L$4="通常",(VLOOKUP($K$7,'モンスター　一覧'!$B$4:$O$198,9,FALSE)*性格一覧!$B27)*0.01*(VLOOKUP($L$3,ギルド一覧!$B$4:$R$29,6,FALSE)),(VLOOKUP($K$7,'モンスター　一覧'!$B$4:$O$198,9,FALSE)*性格一覧!$B27)*0.01*(VLOOKUP($L$3,ギルド一覧!$B$4:$R$29,12,FALSE)))</f>
        <v>29.14</v>
      </c>
      <c r="M36" s="193">
        <f>IF($L$4="通常",(VLOOKUP($K$7,'モンスター　一覧'!$B$4:$O$198,10,FALSE)*性格一覧!$C27)*0.01*(VLOOKUP($L$3,ギルド一覧!$B$4:$R$29,7,FALSE)),(VLOOKUP($K$7,'モンスター　一覧'!$B$4:$O$198,10,FALSE)*性格一覧!$C27)*0.01*(VLOOKUP($L$3,ギルド一覧!$B$4:$R$29,13,FALSE)))</f>
        <v>31.59</v>
      </c>
      <c r="N36" s="193">
        <f>IF($L$4="通常",(VLOOKUP($K$7,'モンスター　一覧'!$B$4:$O$198,11,FALSE)*性格一覧!$D27)*0.01*(VLOOKUP($L$3,ギルド一覧!$B$4:$R$29,8,FALSE)),(VLOOKUP($K$7,'モンスター　一覧'!$B$4:$O$198,11,FALSE)*性格一覧!$D27)*0.01*(VLOOKUP($L$3,ギルド一覧!$B$4:$R$29,14,FALSE)))</f>
        <v>46.800000000000004</v>
      </c>
      <c r="O36" s="193">
        <f>IF($L$4="通常",(VLOOKUP($K$7,'モンスター　一覧'!$B$4:$O$198,12,FALSE)*性格一覧!$E27)*0.01*(VLOOKUP($L$3,ギルド一覧!$B$4:$R$29,9,FALSE)),(VLOOKUP($K$7,'モンスター　一覧'!$B$4:$O$198,12,FALSE)*性格一覧!$E27)*0.01*(VLOOKUP($L$3,ギルド一覧!$B$4:$R$29,15,FALSE)))</f>
        <v>345.80700000000002</v>
      </c>
      <c r="P36" s="193">
        <f>IF($L$4="通常",(VLOOKUP($K$7,'モンスター　一覧'!$B$4:$O$198,13,FALSE)*性格一覧!$F27)*0.01*(VLOOKUP($L$3,ギルド一覧!$B$4:$R$29,10,FALSE)),(VLOOKUP($K$7,'モンスター　一覧'!$B$4:$O$198,13,FALSE)*性格一覧!$F27)*0.01*(VLOOKUP($L$3,ギルド一覧!$B$4:$R$29,16,FALSE)))</f>
        <v>373.12</v>
      </c>
      <c r="Q36" s="194">
        <f>IF($L$4="通常",(VLOOKUP($K$7,'モンスター　一覧'!$B$4:$O$198,14,FALSE)*性格一覧!$G27)*0.01*(VLOOKUP($L$3,ギルド一覧!$B$4:$R$29,11,FALSE)),(VLOOKUP($K$7,'モンスター　一覧'!$B$4:$O$198,14,FALSE)*性格一覧!$G27)*0.01*(VLOOKUP($L$3,ギルド一覧!$B$4:$R$29,17,FALSE)))</f>
        <v>33.75</v>
      </c>
      <c r="R36" s="205">
        <f t="shared" si="1"/>
        <v>860.20699999999999</v>
      </c>
      <c r="T36" s="64" t="s">
        <v>42</v>
      </c>
      <c r="U36" s="193">
        <f>IF($U$4="通常",(VLOOKUP($T$7,'モンスター　一覧'!$B$4:$O$198,9,FALSE)*性格一覧!$B27)*0.01*(VLOOKUP($U$3,ギルド一覧!$B$4:$R$29,6,FALSE)),(VLOOKUP($T$7,'モンスター　一覧'!$B$4:$O$198,9,FALSE)*性格一覧!$B27)*0.01*(VLOOKUP($U$3,ギルド一覧!$B$4:$R$29,12,FALSE)))</f>
        <v>29.14</v>
      </c>
      <c r="V36" s="193">
        <f>IF($U$4="通常",(VLOOKUP($T$7,'モンスター　一覧'!$B$4:$O$198,10,FALSE)*性格一覧!$C27)*0.01*(VLOOKUP($U$3,ギルド一覧!$B$4:$R$29,7,FALSE)),(VLOOKUP($T$7,'モンスター　一覧'!$B$4:$O$198,10,FALSE)*性格一覧!$C27)*0.01*(VLOOKUP($U$3,ギルド一覧!$B$4:$R$29,13,FALSE)))</f>
        <v>31.59</v>
      </c>
      <c r="W36" s="193">
        <f>IF($U$4="通常",(VLOOKUP($T$7,'モンスター　一覧'!$B$4:$O$198,11,FALSE)*性格一覧!$D27)*0.01*(VLOOKUP($U$3,ギルド一覧!$B$4:$R$29,8,FALSE)),(VLOOKUP($T$7,'モンスター　一覧'!$B$4:$O$198,11,FALSE)*性格一覧!$D27)*0.01*(VLOOKUP($U$3,ギルド一覧!$B$4:$R$29,14,FALSE)))</f>
        <v>36</v>
      </c>
      <c r="X36" s="193">
        <f>IF($U$4="通常",(VLOOKUP($T$7,'モンスター　一覧'!$B$4:$O$198,12,FALSE)*性格一覧!$E27)*0.01*(VLOOKUP($U$3,ギルド一覧!$B$4:$R$29,9,FALSE)),(VLOOKUP($T$7,'モンスター　一覧'!$B$4:$O$198,12,FALSE)*性格一覧!$E27)*0.01*(VLOOKUP($U$3,ギルド一覧!$B$4:$R$29,15,FALSE)))</f>
        <v>384.23</v>
      </c>
      <c r="Y36" s="193">
        <f>IF($U$4="通常",(VLOOKUP($T$7,'モンスター　一覧'!$B$4:$O$198,13,FALSE)*性格一覧!$F27)*0.01*(VLOOKUP($U$3,ギルド一覧!$B$4:$R$29,10,FALSE)),(VLOOKUP($T$7,'モンスター　一覧'!$B$4:$O$198,13,FALSE)*性格一覧!$F27)*0.01*(VLOOKUP($U$3,ギルド一覧!$B$4:$R$29,16,FALSE)))</f>
        <v>373.12</v>
      </c>
      <c r="Z36" s="194">
        <f>IF($U$4="通常",(VLOOKUP($T$7,'モンスター　一覧'!$B$4:$O$198,14,FALSE)*性格一覧!$G27)*0.01*(VLOOKUP($U$3,ギルド一覧!$B$4:$R$29,11,FALSE)),(VLOOKUP($T$7,'モンスター　一覧'!$B$4:$O$198,14,FALSE)*性格一覧!$G27)*0.01*(VLOOKUP($U$3,ギルド一覧!$B$4:$R$29,17,FALSE)))</f>
        <v>33.75</v>
      </c>
      <c r="AA36" s="205">
        <f t="shared" si="2"/>
        <v>887.83</v>
      </c>
      <c r="AC36" s="152" t="s">
        <v>189</v>
      </c>
      <c r="AD36" s="150"/>
    </row>
    <row r="37" spans="2:30" s="55" customFormat="1" ht="12">
      <c r="B37" s="64" t="s">
        <v>44</v>
      </c>
      <c r="C37" s="193">
        <f>IF($C$4="通常",(VLOOKUP($B$7,'モンスター　一覧'!$B$4:$O$198,9,FALSE)*性格一覧!$B28)*0.01*(VLOOKUP($C$3,ギルド一覧!$B$4:$R$29,6,FALSE)),(VLOOKUP($B$7,'モンスター　一覧'!$B$4:$O$198,9,FALSE)*性格一覧!$B28)*0.01*(VLOOKUP($C$3,ギルド一覧!$B$4:$R$29,12,FALSE)))</f>
        <v>178.12</v>
      </c>
      <c r="D37" s="193">
        <f>IF($C$4="通常",(VLOOKUP($B$7,'モンスター　一覧'!$B$4:$O$198,10,FALSE)*性格一覧!$C28)*0.01*(VLOOKUP($C$3,ギルド一覧!$B$4:$R$29,7,FALSE)),(VLOOKUP($B$7,'モンスター　一覧'!$B$4:$O$198,10,FALSE)*性格一覧!$C28)*0.01*(VLOOKUP($C$3,ギルド一覧!$B$4:$R$29,13,FALSE)))</f>
        <v>47.45</v>
      </c>
      <c r="E37" s="193">
        <f>IF($C$4="通常",(VLOOKUP($B$7,'モンスター　一覧'!$B$4:$O$198,11,FALSE)*性格一覧!$D28)*0.01*(VLOOKUP($C$3,ギルド一覧!$B$4:$R$29,8,FALSE)),(VLOOKUP($B$7,'モンスター　一覧'!$B$4:$O$198,11,FALSE)*性格一覧!$D28)*0.01*(VLOOKUP($C$3,ギルド一覧!$B$4:$R$29,14,FALSE)))</f>
        <v>86.25</v>
      </c>
      <c r="F37" s="193">
        <f>IF($C$4="通常",(VLOOKUP($B$7,'モンスター　一覧'!$B$4:$O$198,12,FALSE)*性格一覧!$E28)*0.01*(VLOOKUP($C$3,ギルド一覧!$B$4:$R$29,9,FALSE)),(VLOOKUP($B$7,'モンスター　一覧'!$B$4:$O$198,12,FALSE)*性格一覧!$E28)*0.01*(VLOOKUP($C$3,ギルド一覧!$B$4:$R$29,15,FALSE)))</f>
        <v>58.22</v>
      </c>
      <c r="G37" s="193">
        <f>IF($C$4="通常",(VLOOKUP($B$7,'モンスター　一覧'!$B$4:$O$198,13,FALSE)*性格一覧!$F28)*0.01*(VLOOKUP($C$3,ギルド一覧!$B$4:$R$29,10,FALSE)),(VLOOKUP($B$7,'モンスター　一覧'!$B$4:$O$198,13,FALSE)*性格一覧!$F28)*0.01*(VLOOKUP($C$3,ギルド一覧!$B$4:$R$29,16,FALSE)))</f>
        <v>76</v>
      </c>
      <c r="H37" s="194">
        <f>IF($C$4="通常",(VLOOKUP($B$7,'モンスター　一覧'!$B$4:$O$198,14,FALSE)*性格一覧!$G28)*0.01*(VLOOKUP($C$3,ギルド一覧!$B$4:$R$29,11,FALSE)),(VLOOKUP($B$7,'モンスター　一覧'!$B$4:$O$198,14,FALSE)*性格一覧!$G28)*0.01*(VLOOKUP($C$3,ギルド一覧!$B$4:$R$29,17,FALSE)))</f>
        <v>115.5</v>
      </c>
      <c r="I37" s="205">
        <f t="shared" si="0"/>
        <v>561.54</v>
      </c>
      <c r="J37" s="56"/>
      <c r="K37" s="64" t="s">
        <v>44</v>
      </c>
      <c r="L37" s="193">
        <f>IF($L$4="通常",(VLOOKUP($K$7,'モンスター　一覧'!$B$4:$O$198,9,FALSE)*性格一覧!$B28)*0.01*(VLOOKUP($L$3,ギルド一覧!$B$4:$R$29,6,FALSE)),(VLOOKUP($K$7,'モンスター　一覧'!$B$4:$O$198,9,FALSE)*性格一覧!$B28)*0.01*(VLOOKUP($L$3,ギルド一覧!$B$4:$R$29,12,FALSE)))</f>
        <v>37.82</v>
      </c>
      <c r="M37" s="193">
        <f>IF($L$4="通常",(VLOOKUP($K$7,'モンスター　一覧'!$B$4:$O$198,10,FALSE)*性格一覧!$C28)*0.01*(VLOOKUP($L$3,ギルド一覧!$B$4:$R$29,7,FALSE)),(VLOOKUP($K$7,'モンスター　一覧'!$B$4:$O$198,10,FALSE)*性格一覧!$C28)*0.01*(VLOOKUP($L$3,ギルド一覧!$B$4:$R$29,13,FALSE)))</f>
        <v>25.35</v>
      </c>
      <c r="N37" s="193">
        <f>IF($L$4="通常",(VLOOKUP($K$7,'モンスター　一覧'!$B$4:$O$198,11,FALSE)*性格一覧!$D28)*0.01*(VLOOKUP($L$3,ギルド一覧!$B$4:$R$29,8,FALSE)),(VLOOKUP($K$7,'モンスター　一覧'!$B$4:$O$198,11,FALSE)*性格一覧!$D28)*0.01*(VLOOKUP($L$3,ギルド一覧!$B$4:$R$29,14,FALSE)))</f>
        <v>58.5</v>
      </c>
      <c r="O37" s="193">
        <f>IF($L$4="通常",(VLOOKUP($K$7,'モンスター　一覧'!$B$4:$O$198,12,FALSE)*性格一覧!$E28)*0.01*(VLOOKUP($L$3,ギルド一覧!$B$4:$R$29,9,FALSE)),(VLOOKUP($K$7,'モンスター　一覧'!$B$4:$O$198,12,FALSE)*性格一覧!$E28)*0.01*(VLOOKUP($L$3,ギルド一覧!$B$4:$R$29,15,FALSE)))</f>
        <v>318.86100000000005</v>
      </c>
      <c r="P37" s="193">
        <f>IF($L$4="通常",(VLOOKUP($K$7,'モンスター　一覧'!$B$4:$O$198,13,FALSE)*性格一覧!$F28)*0.01*(VLOOKUP($L$3,ギルド一覧!$B$4:$R$29,10,FALSE)),(VLOOKUP($K$7,'モンスター　一覧'!$B$4:$O$198,13,FALSE)*性格一覧!$F28)*0.01*(VLOOKUP($L$3,ギルド一覧!$B$4:$R$29,16,FALSE)))</f>
        <v>334.40000000000003</v>
      </c>
      <c r="Q37" s="194">
        <f>IF($L$4="通常",(VLOOKUP($K$7,'モンスター　一覧'!$B$4:$O$198,14,FALSE)*性格一覧!$G28)*0.01*(VLOOKUP($L$3,ギルド一覧!$B$4:$R$29,11,FALSE)),(VLOOKUP($K$7,'モンスター　一覧'!$B$4:$O$198,14,FALSE)*性格一覧!$G28)*0.01*(VLOOKUP($L$3,ギルド一覧!$B$4:$R$29,17,FALSE)))</f>
        <v>33.75</v>
      </c>
      <c r="R37" s="205">
        <f t="shared" si="1"/>
        <v>808.68100000000004</v>
      </c>
      <c r="T37" s="64" t="s">
        <v>44</v>
      </c>
      <c r="U37" s="193">
        <f>IF($U$4="通常",(VLOOKUP($T$7,'モンスター　一覧'!$B$4:$O$198,9,FALSE)*性格一覧!$B28)*0.01*(VLOOKUP($U$3,ギルド一覧!$B$4:$R$29,6,FALSE)),(VLOOKUP($T$7,'モンスター　一覧'!$B$4:$O$198,9,FALSE)*性格一覧!$B28)*0.01*(VLOOKUP($U$3,ギルド一覧!$B$4:$R$29,12,FALSE)))</f>
        <v>37.82</v>
      </c>
      <c r="V37" s="193">
        <f>IF($U$4="通常",(VLOOKUP($T$7,'モンスター　一覧'!$B$4:$O$198,10,FALSE)*性格一覧!$C28)*0.01*(VLOOKUP($U$3,ギルド一覧!$B$4:$R$29,7,FALSE)),(VLOOKUP($T$7,'モンスター　一覧'!$B$4:$O$198,10,FALSE)*性格一覧!$C28)*0.01*(VLOOKUP($U$3,ギルド一覧!$B$4:$R$29,13,FALSE)))</f>
        <v>25.35</v>
      </c>
      <c r="W37" s="193">
        <f>IF($U$4="通常",(VLOOKUP($T$7,'モンスター　一覧'!$B$4:$O$198,11,FALSE)*性格一覧!$D28)*0.01*(VLOOKUP($U$3,ギルド一覧!$B$4:$R$29,8,FALSE)),(VLOOKUP($T$7,'モンスター　一覧'!$B$4:$O$198,11,FALSE)*性格一覧!$D28)*0.01*(VLOOKUP($U$3,ギルド一覧!$B$4:$R$29,14,FALSE)))</f>
        <v>45</v>
      </c>
      <c r="X37" s="193">
        <f>IF($U$4="通常",(VLOOKUP($T$7,'モンスター　一覧'!$B$4:$O$198,12,FALSE)*性格一覧!$E28)*0.01*(VLOOKUP($U$3,ギルド一覧!$B$4:$R$29,9,FALSE)),(VLOOKUP($T$7,'モンスター　一覧'!$B$4:$O$198,12,FALSE)*性格一覧!$E28)*0.01*(VLOOKUP($U$3,ギルド一覧!$B$4:$R$29,15,FALSE)))</f>
        <v>354.29</v>
      </c>
      <c r="Y37" s="193">
        <f>IF($U$4="通常",(VLOOKUP($T$7,'モンスター　一覧'!$B$4:$O$198,13,FALSE)*性格一覧!$F28)*0.01*(VLOOKUP($U$3,ギルド一覧!$B$4:$R$29,10,FALSE)),(VLOOKUP($T$7,'モンスター　一覧'!$B$4:$O$198,13,FALSE)*性格一覧!$F28)*0.01*(VLOOKUP($U$3,ギルド一覧!$B$4:$R$29,16,FALSE)))</f>
        <v>334.40000000000003</v>
      </c>
      <c r="Z37" s="194">
        <f>IF($U$4="通常",(VLOOKUP($T$7,'モンスター　一覧'!$B$4:$O$198,14,FALSE)*性格一覧!$G28)*0.01*(VLOOKUP($U$3,ギルド一覧!$B$4:$R$29,11,FALSE)),(VLOOKUP($T$7,'モンスター　一覧'!$B$4:$O$198,14,FALSE)*性格一覧!$G28)*0.01*(VLOOKUP($U$3,ギルド一覧!$B$4:$R$29,17,FALSE)))</f>
        <v>33.75</v>
      </c>
      <c r="AA37" s="205">
        <f t="shared" si="2"/>
        <v>830.61000000000013</v>
      </c>
      <c r="AC37" s="152" t="s">
        <v>157</v>
      </c>
      <c r="AD37" s="150"/>
    </row>
    <row r="38" spans="2:30" s="55" customFormat="1" ht="12">
      <c r="B38" s="64" t="s">
        <v>45</v>
      </c>
      <c r="C38" s="193">
        <f>IF($C$4="通常",(VLOOKUP($B$7,'モンスター　一覧'!$B$4:$O$198,9,FALSE)*性格一覧!$B29)*0.01*(VLOOKUP($C$3,ギルド一覧!$B$4:$R$29,6,FALSE)),(VLOOKUP($B$7,'モンスター　一覧'!$B$4:$O$198,9,FALSE)*性格一覧!$B29)*0.01*(VLOOKUP($C$3,ギルド一覧!$B$4:$R$29,12,FALSE)))</f>
        <v>170.82</v>
      </c>
      <c r="D38" s="193">
        <f>IF($C$4="通常",(VLOOKUP($B$7,'モンスター　一覧'!$B$4:$O$198,10,FALSE)*性格一覧!$C29)*0.01*(VLOOKUP($C$3,ギルド一覧!$B$4:$R$29,7,FALSE)),(VLOOKUP($B$7,'モンスター　一覧'!$B$4:$O$198,10,FALSE)*性格一覧!$C29)*0.01*(VLOOKUP($C$3,ギルド一覧!$B$4:$R$29,13,FALSE)))</f>
        <v>70.08</v>
      </c>
      <c r="E38" s="193">
        <f>IF($C$4="通常",(VLOOKUP($B$7,'モンスター　一覧'!$B$4:$O$198,11,FALSE)*性格一覧!$D29)*0.01*(VLOOKUP($C$3,ギルド一覧!$B$4:$R$29,8,FALSE)),(VLOOKUP($B$7,'モンスター　一覧'!$B$4:$O$198,11,FALSE)*性格一覧!$D29)*0.01*(VLOOKUP($C$3,ギルド一覧!$B$4:$R$29,14,FALSE)))</f>
        <v>81.42</v>
      </c>
      <c r="F38" s="193">
        <f>IF($C$4="通常",(VLOOKUP($B$7,'モンスター　一覧'!$B$4:$O$198,12,FALSE)*性格一覧!$E29)*0.01*(VLOOKUP($C$3,ギルド一覧!$B$4:$R$29,9,FALSE)),(VLOOKUP($B$7,'モンスター　一覧'!$B$4:$O$198,12,FALSE)*性格一覧!$E29)*0.01*(VLOOKUP($C$3,ギルド一覧!$B$4:$R$29,15,FALSE)))</f>
        <v>82</v>
      </c>
      <c r="G38" s="193">
        <f>IF($C$4="通常",(VLOOKUP($B$7,'モンスター　一覧'!$B$4:$O$198,13,FALSE)*性格一覧!$F29)*0.01*(VLOOKUP($C$3,ギルド一覧!$B$4:$R$29,10,FALSE)),(VLOOKUP($B$7,'モンスター　一覧'!$B$4:$O$198,13,FALSE)*性格一覧!$F29)*0.01*(VLOOKUP($C$3,ギルド一覧!$B$4:$R$29,16,FALSE)))</f>
        <v>52</v>
      </c>
      <c r="H38" s="194">
        <f>IF($C$4="通常",(VLOOKUP($B$7,'モンスター　一覧'!$B$4:$O$198,14,FALSE)*性格一覧!$G29)*0.01*(VLOOKUP($C$3,ギルド一覧!$B$4:$R$29,11,FALSE)),(VLOOKUP($B$7,'モンスター　一覧'!$B$4:$O$198,14,FALSE)*性格一覧!$G29)*0.01*(VLOOKUP($C$3,ギルド一覧!$B$4:$R$29,17,FALSE)))</f>
        <v>143.22</v>
      </c>
      <c r="I38" s="205">
        <f t="shared" si="0"/>
        <v>599.54</v>
      </c>
      <c r="J38" s="56"/>
      <c r="K38" s="64" t="s">
        <v>45</v>
      </c>
      <c r="L38" s="193">
        <f>IF($L$4="通常",(VLOOKUP($K$7,'モンスター　一覧'!$B$4:$O$198,9,FALSE)*性格一覧!$B29)*0.01*(VLOOKUP($L$3,ギルド一覧!$B$4:$R$29,6,FALSE)),(VLOOKUP($K$7,'モンスター　一覧'!$B$4:$O$198,9,FALSE)*性格一覧!$B29)*0.01*(VLOOKUP($L$3,ギルド一覧!$B$4:$R$29,12,FALSE)))</f>
        <v>36.270000000000003</v>
      </c>
      <c r="M38" s="193">
        <f>IF($L$4="通常",(VLOOKUP($K$7,'モンスター　一覧'!$B$4:$O$198,10,FALSE)*性格一覧!$C29)*0.01*(VLOOKUP($L$3,ギルド一覧!$B$4:$R$29,7,FALSE)),(VLOOKUP($K$7,'モンスター　一覧'!$B$4:$O$198,10,FALSE)*性格一覧!$C29)*0.01*(VLOOKUP($L$3,ギルド一覧!$B$4:$R$29,13,FALSE)))</f>
        <v>37.44</v>
      </c>
      <c r="N38" s="193">
        <f>IF($L$4="通常",(VLOOKUP($K$7,'モンスター　一覧'!$B$4:$O$198,11,FALSE)*性格一覧!$D29)*0.01*(VLOOKUP($L$3,ギルド一覧!$B$4:$R$29,8,FALSE)),(VLOOKUP($K$7,'モンスター　一覧'!$B$4:$O$198,11,FALSE)*性格一覧!$D29)*0.01*(VLOOKUP($L$3,ギルド一覧!$B$4:$R$29,14,FALSE)))</f>
        <v>55.224000000000004</v>
      </c>
      <c r="O38" s="193">
        <f>IF($L$4="通常",(VLOOKUP($K$7,'モンスター　一覧'!$B$4:$O$198,12,FALSE)*性格一覧!$E29)*0.01*(VLOOKUP($L$3,ギルド一覧!$B$4:$R$29,9,FALSE)),(VLOOKUP($K$7,'モンスター　一覧'!$B$4:$O$198,12,FALSE)*性格一覧!$E29)*0.01*(VLOOKUP($L$3,ギルド一覧!$B$4:$R$29,15,FALSE)))</f>
        <v>449.1</v>
      </c>
      <c r="P38" s="193">
        <f>IF($L$4="通常",(VLOOKUP($K$7,'モンスター　一覧'!$B$4:$O$198,13,FALSE)*性格一覧!$F29)*0.01*(VLOOKUP($L$3,ギルド一覧!$B$4:$R$29,10,FALSE)),(VLOOKUP($K$7,'モンスター　一覧'!$B$4:$O$198,13,FALSE)*性格一覧!$F29)*0.01*(VLOOKUP($L$3,ギルド一覧!$B$4:$R$29,16,FALSE)))</f>
        <v>228.8</v>
      </c>
      <c r="Q38" s="194">
        <f>IF($L$4="通常",(VLOOKUP($K$7,'モンスター　一覧'!$B$4:$O$198,14,FALSE)*性格一覧!$G29)*0.01*(VLOOKUP($L$3,ギルド一覧!$B$4:$R$29,11,FALSE)),(VLOOKUP($K$7,'モンスター　一覧'!$B$4:$O$198,14,FALSE)*性格一覧!$G29)*0.01*(VLOOKUP($L$3,ギルド一覧!$B$4:$R$29,17,FALSE)))</f>
        <v>41.85</v>
      </c>
      <c r="R38" s="205">
        <f t="shared" si="1"/>
        <v>848.68400000000008</v>
      </c>
      <c r="T38" s="64" t="s">
        <v>45</v>
      </c>
      <c r="U38" s="193">
        <f>IF($U$4="通常",(VLOOKUP($T$7,'モンスター　一覧'!$B$4:$O$198,9,FALSE)*性格一覧!$B29)*0.01*(VLOOKUP($U$3,ギルド一覧!$B$4:$R$29,6,FALSE)),(VLOOKUP($T$7,'モンスター　一覧'!$B$4:$O$198,9,FALSE)*性格一覧!$B29)*0.01*(VLOOKUP($U$3,ギルド一覧!$B$4:$R$29,12,FALSE)))</f>
        <v>36.270000000000003</v>
      </c>
      <c r="V38" s="193">
        <f>IF($U$4="通常",(VLOOKUP($T$7,'モンスター　一覧'!$B$4:$O$198,10,FALSE)*性格一覧!$C29)*0.01*(VLOOKUP($U$3,ギルド一覧!$B$4:$R$29,7,FALSE)),(VLOOKUP($T$7,'モンスター　一覧'!$B$4:$O$198,10,FALSE)*性格一覧!$C29)*0.01*(VLOOKUP($U$3,ギルド一覧!$B$4:$R$29,13,FALSE)))</f>
        <v>37.44</v>
      </c>
      <c r="W38" s="193">
        <f>IF($U$4="通常",(VLOOKUP($T$7,'モンスター　一覧'!$B$4:$O$198,11,FALSE)*性格一覧!$D29)*0.01*(VLOOKUP($U$3,ギルド一覧!$B$4:$R$29,8,FALSE)),(VLOOKUP($T$7,'モンスター　一覧'!$B$4:$O$198,11,FALSE)*性格一覧!$D29)*0.01*(VLOOKUP($U$3,ギルド一覧!$B$4:$R$29,14,FALSE)))</f>
        <v>42.480000000000004</v>
      </c>
      <c r="X38" s="193">
        <f>IF($U$4="通常",(VLOOKUP($T$7,'モンスター　一覧'!$B$4:$O$198,12,FALSE)*性格一覧!$E29)*0.01*(VLOOKUP($U$3,ギルド一覧!$B$4:$R$29,9,FALSE)),(VLOOKUP($T$7,'モンスター　一覧'!$B$4:$O$198,12,FALSE)*性格一覧!$E29)*0.01*(VLOOKUP($U$3,ギルド一覧!$B$4:$R$29,15,FALSE)))</f>
        <v>499</v>
      </c>
      <c r="Y38" s="193">
        <f>IF($U$4="通常",(VLOOKUP($T$7,'モンスター　一覧'!$B$4:$O$198,13,FALSE)*性格一覧!$F29)*0.01*(VLOOKUP($U$3,ギルド一覧!$B$4:$R$29,10,FALSE)),(VLOOKUP($T$7,'モンスター　一覧'!$B$4:$O$198,13,FALSE)*性格一覧!$F29)*0.01*(VLOOKUP($U$3,ギルド一覧!$B$4:$R$29,16,FALSE)))</f>
        <v>228.8</v>
      </c>
      <c r="Z38" s="194">
        <f>IF($U$4="通常",(VLOOKUP($T$7,'モンスター　一覧'!$B$4:$O$198,14,FALSE)*性格一覧!$G29)*0.01*(VLOOKUP($U$3,ギルド一覧!$B$4:$R$29,11,FALSE)),(VLOOKUP($T$7,'モンスター　一覧'!$B$4:$O$198,14,FALSE)*性格一覧!$G29)*0.01*(VLOOKUP($U$3,ギルド一覧!$B$4:$R$29,17,FALSE)))</f>
        <v>41.85</v>
      </c>
      <c r="AA38" s="205">
        <f t="shared" si="2"/>
        <v>885.84</v>
      </c>
      <c r="AC38" s="152" t="s">
        <v>149</v>
      </c>
      <c r="AD38" s="150"/>
    </row>
    <row r="39" spans="2:30" s="55" customFormat="1" ht="12">
      <c r="B39" s="64" t="s">
        <v>46</v>
      </c>
      <c r="C39" s="193">
        <f>IF($C$4="通常",(VLOOKUP($B$7,'モンスター　一覧'!$B$4:$O$198,9,FALSE)*性格一覧!$B30)*0.01*(VLOOKUP($C$3,ギルド一覧!$B$4:$R$29,6,FALSE)),(VLOOKUP($B$7,'モンスター　一覧'!$B$4:$O$198,9,FALSE)*性格一覧!$B30)*0.01*(VLOOKUP($C$3,ギルド一覧!$B$4:$R$29,12,FALSE)))</f>
        <v>119.72</v>
      </c>
      <c r="D39" s="193">
        <f>IF($C$4="通常",(VLOOKUP($B$7,'モンスター　一覧'!$B$4:$O$198,10,FALSE)*性格一覧!$C30)*0.01*(VLOOKUP($C$3,ギルド一覧!$B$4:$R$29,7,FALSE)),(VLOOKUP($B$7,'モンスター　一覧'!$B$4:$O$198,10,FALSE)*性格一覧!$C30)*0.01*(VLOOKUP($C$3,ギルド一覧!$B$4:$R$29,13,FALSE)))</f>
        <v>82.49</v>
      </c>
      <c r="E39" s="193">
        <f>IF($C$4="通常",(VLOOKUP($B$7,'モンスター　一覧'!$B$4:$O$198,11,FALSE)*性格一覧!$D30)*0.01*(VLOOKUP($C$3,ギルド一覧!$B$4:$R$29,8,FALSE)),(VLOOKUP($B$7,'モンスター　一覧'!$B$4:$O$198,11,FALSE)*性格一覧!$D30)*0.01*(VLOOKUP($C$3,ギルド一覧!$B$4:$R$29,14,FALSE)))</f>
        <v>69</v>
      </c>
      <c r="F39" s="193">
        <f>IF($C$4="通常",(VLOOKUP($B$7,'モンスター　一覧'!$B$4:$O$198,12,FALSE)*性格一覧!$E30)*0.01*(VLOOKUP($C$3,ギルド一覧!$B$4:$R$29,9,FALSE)),(VLOOKUP($B$7,'モンスター　一覧'!$B$4:$O$198,12,FALSE)*性格一覧!$E30)*0.01*(VLOOKUP($C$3,ギルド一覧!$B$4:$R$29,15,FALSE)))</f>
        <v>74.62</v>
      </c>
      <c r="G39" s="193">
        <f>IF($C$4="通常",(VLOOKUP($B$7,'モンスター　一覧'!$B$4:$O$198,13,FALSE)*性格一覧!$F30)*0.01*(VLOOKUP($C$3,ギルド一覧!$B$4:$R$29,10,FALSE)),(VLOOKUP($B$7,'モンスター　一覧'!$B$4:$O$198,13,FALSE)*性格一覧!$F30)*0.01*(VLOOKUP($C$3,ギルド一覧!$B$4:$R$29,16,FALSE)))</f>
        <v>105.60000000000001</v>
      </c>
      <c r="H39" s="194">
        <f>IF($C$4="通常",(VLOOKUP($B$7,'モンスター　一覧'!$B$4:$O$198,14,FALSE)*性格一覧!$G30)*0.01*(VLOOKUP($C$3,ギルド一覧!$B$4:$R$29,11,FALSE)),(VLOOKUP($B$7,'モンスター　一覧'!$B$4:$O$198,14,FALSE)*性格一覧!$G30)*0.01*(VLOOKUP($C$3,ギルド一覧!$B$4:$R$29,17,FALSE)))</f>
        <v>174.02</v>
      </c>
      <c r="I39" s="205">
        <f t="shared" si="0"/>
        <v>625.45000000000005</v>
      </c>
      <c r="J39" s="56"/>
      <c r="K39" s="64" t="s">
        <v>46</v>
      </c>
      <c r="L39" s="193">
        <f>IF($L$4="通常",(VLOOKUP($K$7,'モンスター　一覧'!$B$4:$O$198,9,FALSE)*性格一覧!$B30)*0.01*(VLOOKUP($L$3,ギルド一覧!$B$4:$R$29,6,FALSE)),(VLOOKUP($K$7,'モンスター　一覧'!$B$4:$O$198,9,FALSE)*性格一覧!$B30)*0.01*(VLOOKUP($L$3,ギルド一覧!$B$4:$R$29,12,FALSE)))</f>
        <v>25.42</v>
      </c>
      <c r="M39" s="193">
        <f>IF($L$4="通常",(VLOOKUP($K$7,'モンスター　一覧'!$B$4:$O$198,10,FALSE)*性格一覧!$C30)*0.01*(VLOOKUP($L$3,ギルド一覧!$B$4:$R$29,7,FALSE)),(VLOOKUP($K$7,'モンスター　一覧'!$B$4:$O$198,10,FALSE)*性格一覧!$C30)*0.01*(VLOOKUP($L$3,ギルド一覧!$B$4:$R$29,13,FALSE)))</f>
        <v>44.07</v>
      </c>
      <c r="N39" s="193">
        <f>IF($L$4="通常",(VLOOKUP($K$7,'モンスター　一覧'!$B$4:$O$198,11,FALSE)*性格一覧!$D30)*0.01*(VLOOKUP($L$3,ギルド一覧!$B$4:$R$29,8,FALSE)),(VLOOKUP($K$7,'モンスター　一覧'!$B$4:$O$198,11,FALSE)*性格一覧!$D30)*0.01*(VLOOKUP($L$3,ギルド一覧!$B$4:$R$29,14,FALSE)))</f>
        <v>46.800000000000004</v>
      </c>
      <c r="O39" s="193">
        <f>IF($L$4="通常",(VLOOKUP($K$7,'モンスター　一覧'!$B$4:$O$198,12,FALSE)*性格一覧!$E30)*0.01*(VLOOKUP($L$3,ギルド一覧!$B$4:$R$29,9,FALSE)),(VLOOKUP($K$7,'モンスター　一覧'!$B$4:$O$198,12,FALSE)*性格一覧!$E30)*0.01*(VLOOKUP($L$3,ギルド一覧!$B$4:$R$29,15,FALSE)))</f>
        <v>408.68100000000004</v>
      </c>
      <c r="P39" s="193">
        <f>IF($L$4="通常",(VLOOKUP($K$7,'モンスター　一覧'!$B$4:$O$198,13,FALSE)*性格一覧!$F30)*0.01*(VLOOKUP($L$3,ギルド一覧!$B$4:$R$29,10,FALSE)),(VLOOKUP($K$7,'モンスター　一覧'!$B$4:$O$198,13,FALSE)*性格一覧!$F30)*0.01*(VLOOKUP($L$3,ギルド一覧!$B$4:$R$29,16,FALSE)))</f>
        <v>464.64</v>
      </c>
      <c r="Q39" s="194">
        <f>IF($L$4="通常",(VLOOKUP($K$7,'モンスター　一覧'!$B$4:$O$198,14,FALSE)*性格一覧!$G30)*0.01*(VLOOKUP($L$3,ギルド一覧!$B$4:$R$29,11,FALSE)),(VLOOKUP($K$7,'モンスター　一覧'!$B$4:$O$198,14,FALSE)*性格一覧!$G30)*0.01*(VLOOKUP($L$3,ギルド一覧!$B$4:$R$29,17,FALSE)))</f>
        <v>50.85</v>
      </c>
      <c r="R39" s="205">
        <f t="shared" si="1"/>
        <v>1040.461</v>
      </c>
      <c r="T39" s="64" t="s">
        <v>46</v>
      </c>
      <c r="U39" s="193">
        <f>IF($U$4="通常",(VLOOKUP($T$7,'モンスター　一覧'!$B$4:$O$198,9,FALSE)*性格一覧!$B30)*0.01*(VLOOKUP($U$3,ギルド一覧!$B$4:$R$29,6,FALSE)),(VLOOKUP($T$7,'モンスター　一覧'!$B$4:$O$198,9,FALSE)*性格一覧!$B30)*0.01*(VLOOKUP($U$3,ギルド一覧!$B$4:$R$29,12,FALSE)))</f>
        <v>25.42</v>
      </c>
      <c r="V39" s="193">
        <f>IF($U$4="通常",(VLOOKUP($T$7,'モンスター　一覧'!$B$4:$O$198,10,FALSE)*性格一覧!$C30)*0.01*(VLOOKUP($U$3,ギルド一覧!$B$4:$R$29,7,FALSE)),(VLOOKUP($T$7,'モンスター　一覧'!$B$4:$O$198,10,FALSE)*性格一覧!$C30)*0.01*(VLOOKUP($U$3,ギルド一覧!$B$4:$R$29,13,FALSE)))</f>
        <v>44.07</v>
      </c>
      <c r="W39" s="193">
        <f>IF($U$4="通常",(VLOOKUP($T$7,'モンスター　一覧'!$B$4:$O$198,11,FALSE)*性格一覧!$D30)*0.01*(VLOOKUP($U$3,ギルド一覧!$B$4:$R$29,8,FALSE)),(VLOOKUP($T$7,'モンスター　一覧'!$B$4:$O$198,11,FALSE)*性格一覧!$D30)*0.01*(VLOOKUP($U$3,ギルド一覧!$B$4:$R$29,14,FALSE)))</f>
        <v>36</v>
      </c>
      <c r="X39" s="193">
        <f>IF($U$4="通常",(VLOOKUP($T$7,'モンスター　一覧'!$B$4:$O$198,12,FALSE)*性格一覧!$E30)*0.01*(VLOOKUP($U$3,ギルド一覧!$B$4:$R$29,9,FALSE)),(VLOOKUP($T$7,'モンスター　一覧'!$B$4:$O$198,12,FALSE)*性格一覧!$E30)*0.01*(VLOOKUP($U$3,ギルド一覧!$B$4:$R$29,15,FALSE)))</f>
        <v>454.09000000000003</v>
      </c>
      <c r="Y39" s="193">
        <f>IF($U$4="通常",(VLOOKUP($T$7,'モンスター　一覧'!$B$4:$O$198,13,FALSE)*性格一覧!$F30)*0.01*(VLOOKUP($U$3,ギルド一覧!$B$4:$R$29,10,FALSE)),(VLOOKUP($T$7,'モンスター　一覧'!$B$4:$O$198,13,FALSE)*性格一覧!$F30)*0.01*(VLOOKUP($U$3,ギルド一覧!$B$4:$R$29,16,FALSE)))</f>
        <v>464.64</v>
      </c>
      <c r="Z39" s="194">
        <f>IF($U$4="通常",(VLOOKUP($T$7,'モンスター　一覧'!$B$4:$O$198,14,FALSE)*性格一覧!$G30)*0.01*(VLOOKUP($U$3,ギルド一覧!$B$4:$R$29,11,FALSE)),(VLOOKUP($T$7,'モンスター　一覧'!$B$4:$O$198,14,FALSE)*性格一覧!$G30)*0.01*(VLOOKUP($U$3,ギルド一覧!$B$4:$R$29,17,FALSE)))</f>
        <v>50.85</v>
      </c>
      <c r="AA39" s="205">
        <f t="shared" si="2"/>
        <v>1075.07</v>
      </c>
      <c r="AC39" s="152" t="s">
        <v>245</v>
      </c>
      <c r="AD39" s="150"/>
    </row>
    <row r="40" spans="2:30" s="55" customFormat="1" ht="12">
      <c r="B40" s="64" t="s">
        <v>47</v>
      </c>
      <c r="C40" s="193">
        <f>IF($C$4="通常",(VLOOKUP($B$7,'モンスター　一覧'!$B$4:$O$198,9,FALSE)*性格一覧!$B31)*0.01*(VLOOKUP($C$3,ギルド一覧!$B$4:$R$29,6,FALSE)),(VLOOKUP($B$7,'モンスター　一覧'!$B$4:$O$198,9,FALSE)*性格一覧!$B31)*0.01*(VLOOKUP($C$3,ギルド一覧!$B$4:$R$29,12,FALSE)))</f>
        <v>103.66</v>
      </c>
      <c r="D40" s="193">
        <f>IF($C$4="通常",(VLOOKUP($B$7,'モンスター　一覧'!$B$4:$O$198,10,FALSE)*性格一覧!$C31)*0.01*(VLOOKUP($C$3,ギルド一覧!$B$4:$R$29,7,FALSE)),(VLOOKUP($B$7,'モンスター　一覧'!$B$4:$O$198,10,FALSE)*性格一覧!$C31)*0.01*(VLOOKUP($C$3,ギルド一覧!$B$4:$R$29,13,FALSE)))</f>
        <v>81.760000000000005</v>
      </c>
      <c r="E40" s="193">
        <f>IF($C$4="通常",(VLOOKUP($B$7,'モンスター　一覧'!$B$4:$O$198,11,FALSE)*性格一覧!$D31)*0.01*(VLOOKUP($C$3,ギルド一覧!$B$4:$R$29,8,FALSE)),(VLOOKUP($B$7,'モンスター　一覧'!$B$4:$O$198,11,FALSE)*性格一覧!$D31)*0.01*(VLOOKUP($C$3,ギルド一覧!$B$4:$R$29,14,FALSE)))</f>
        <v>71.760000000000005</v>
      </c>
      <c r="F40" s="193">
        <f>IF($C$4="通常",(VLOOKUP($B$7,'モンスター　一覧'!$B$4:$O$198,12,FALSE)*性格一覧!$E31)*0.01*(VLOOKUP($C$3,ギルド一覧!$B$4:$R$29,9,FALSE)),(VLOOKUP($B$7,'モンスター　一覧'!$B$4:$O$198,12,FALSE)*性格一覧!$E31)*0.01*(VLOOKUP($C$3,ギルド一覧!$B$4:$R$29,15,FALSE)))</f>
        <v>88.56</v>
      </c>
      <c r="G40" s="193">
        <f>IF($C$4="通常",(VLOOKUP($B$7,'モンスター　一覧'!$B$4:$O$198,13,FALSE)*性格一覧!$F31)*0.01*(VLOOKUP($C$3,ギルド一覧!$B$4:$R$29,10,FALSE)),(VLOOKUP($B$7,'モンスター　一覧'!$B$4:$O$198,13,FALSE)*性格一覧!$F31)*0.01*(VLOOKUP($C$3,ギルド一覧!$B$4:$R$29,16,FALSE)))</f>
        <v>84.8</v>
      </c>
      <c r="H40" s="194">
        <f>IF($C$4="通常",(VLOOKUP($B$7,'モンスター　一覧'!$B$4:$O$198,14,FALSE)*性格一覧!$G31)*0.01*(VLOOKUP($C$3,ギルド一覧!$B$4:$R$29,11,FALSE)),(VLOOKUP($B$7,'モンスター　一覧'!$B$4:$O$198,14,FALSE)*性格一覧!$G31)*0.01*(VLOOKUP($C$3,ギルド一覧!$B$4:$R$29,17,FALSE)))</f>
        <v>127.82000000000001</v>
      </c>
      <c r="I40" s="205">
        <f t="shared" si="0"/>
        <v>558.36</v>
      </c>
      <c r="J40" s="56"/>
      <c r="K40" s="64" t="s">
        <v>47</v>
      </c>
      <c r="L40" s="193">
        <f>IF($L$4="通常",(VLOOKUP($K$7,'モンスター　一覧'!$B$4:$O$198,9,FALSE)*性格一覧!$B31)*0.01*(VLOOKUP($L$3,ギルド一覧!$B$4:$R$29,6,FALSE)),(VLOOKUP($K$7,'モンスター　一覧'!$B$4:$O$198,9,FALSE)*性格一覧!$B31)*0.01*(VLOOKUP($L$3,ギルド一覧!$B$4:$R$29,12,FALSE)))</f>
        <v>22.01</v>
      </c>
      <c r="M40" s="193">
        <f>IF($L$4="通常",(VLOOKUP($K$7,'モンスター　一覧'!$B$4:$O$198,10,FALSE)*性格一覧!$C31)*0.01*(VLOOKUP($L$3,ギルド一覧!$B$4:$R$29,7,FALSE)),(VLOOKUP($K$7,'モンスター　一覧'!$B$4:$O$198,10,FALSE)*性格一覧!$C31)*0.01*(VLOOKUP($L$3,ギルド一覧!$B$4:$R$29,13,FALSE)))</f>
        <v>43.68</v>
      </c>
      <c r="N40" s="193">
        <f>IF($L$4="通常",(VLOOKUP($K$7,'モンスター　一覧'!$B$4:$O$198,11,FALSE)*性格一覧!$D31)*0.01*(VLOOKUP($L$3,ギルド一覧!$B$4:$R$29,8,FALSE)),(VLOOKUP($K$7,'モンスター　一覧'!$B$4:$O$198,11,FALSE)*性格一覧!$D31)*0.01*(VLOOKUP($L$3,ギルド一覧!$B$4:$R$29,14,FALSE)))</f>
        <v>48.671999999999997</v>
      </c>
      <c r="O40" s="193">
        <f>IF($L$4="通常",(VLOOKUP($K$7,'モンスター　一覧'!$B$4:$O$198,12,FALSE)*性格一覧!$E31)*0.01*(VLOOKUP($L$3,ギルド一覧!$B$4:$R$29,9,FALSE)),(VLOOKUP($K$7,'モンスター　一覧'!$B$4:$O$198,12,FALSE)*性格一覧!$E31)*0.01*(VLOOKUP($L$3,ギルド一覧!$B$4:$R$29,15,FALSE)))</f>
        <v>485.02799999999996</v>
      </c>
      <c r="P40" s="193">
        <f>IF($L$4="通常",(VLOOKUP($K$7,'モンスター　一覧'!$B$4:$O$198,13,FALSE)*性格一覧!$F31)*0.01*(VLOOKUP($L$3,ギルド一覧!$B$4:$R$29,10,FALSE)),(VLOOKUP($K$7,'モンスター　一覧'!$B$4:$O$198,13,FALSE)*性格一覧!$F31)*0.01*(VLOOKUP($L$3,ギルド一覧!$B$4:$R$29,16,FALSE)))</f>
        <v>373.12</v>
      </c>
      <c r="Q40" s="194">
        <f>IF($L$4="通常",(VLOOKUP($K$7,'モンスター　一覧'!$B$4:$O$198,14,FALSE)*性格一覧!$G31)*0.01*(VLOOKUP($L$3,ギルド一覧!$B$4:$R$29,11,FALSE)),(VLOOKUP($K$7,'モンスター　一覧'!$B$4:$O$198,14,FALSE)*性格一覧!$G31)*0.01*(VLOOKUP($L$3,ギルド一覧!$B$4:$R$29,17,FALSE)))</f>
        <v>37.35</v>
      </c>
      <c r="R40" s="205">
        <f t="shared" si="1"/>
        <v>1009.86</v>
      </c>
      <c r="T40" s="64" t="s">
        <v>47</v>
      </c>
      <c r="U40" s="193">
        <f>IF($U$4="通常",(VLOOKUP($T$7,'モンスター　一覧'!$B$4:$O$198,9,FALSE)*性格一覧!$B31)*0.01*(VLOOKUP($U$3,ギルド一覧!$B$4:$R$29,6,FALSE)),(VLOOKUP($T$7,'モンスター　一覧'!$B$4:$O$198,9,FALSE)*性格一覧!$B31)*0.01*(VLOOKUP($U$3,ギルド一覧!$B$4:$R$29,12,FALSE)))</f>
        <v>22.01</v>
      </c>
      <c r="V40" s="193">
        <f>IF($U$4="通常",(VLOOKUP($T$7,'モンスター　一覧'!$B$4:$O$198,10,FALSE)*性格一覧!$C31)*0.01*(VLOOKUP($U$3,ギルド一覧!$B$4:$R$29,7,FALSE)),(VLOOKUP($T$7,'モンスター　一覧'!$B$4:$O$198,10,FALSE)*性格一覧!$C31)*0.01*(VLOOKUP($U$3,ギルド一覧!$B$4:$R$29,13,FALSE)))</f>
        <v>43.68</v>
      </c>
      <c r="W40" s="193">
        <f>IF($U$4="通常",(VLOOKUP($T$7,'モンスター　一覧'!$B$4:$O$198,11,FALSE)*性格一覧!$D31)*0.01*(VLOOKUP($U$3,ギルド一覧!$B$4:$R$29,8,FALSE)),(VLOOKUP($T$7,'モンスター　一覧'!$B$4:$O$198,11,FALSE)*性格一覧!$D31)*0.01*(VLOOKUP($U$3,ギルド一覧!$B$4:$R$29,14,FALSE)))</f>
        <v>37.44</v>
      </c>
      <c r="X40" s="193">
        <f>IF($U$4="通常",(VLOOKUP($T$7,'モンスター　一覧'!$B$4:$O$198,12,FALSE)*性格一覧!$E31)*0.01*(VLOOKUP($U$3,ギルド一覧!$B$4:$R$29,9,FALSE)),(VLOOKUP($T$7,'モンスター　一覧'!$B$4:$O$198,12,FALSE)*性格一覧!$E31)*0.01*(VLOOKUP($U$3,ギルド一覧!$B$4:$R$29,15,FALSE)))</f>
        <v>538.91999999999996</v>
      </c>
      <c r="Y40" s="193">
        <f>IF($U$4="通常",(VLOOKUP($T$7,'モンスター　一覧'!$B$4:$O$198,13,FALSE)*性格一覧!$F31)*0.01*(VLOOKUP($U$3,ギルド一覧!$B$4:$R$29,10,FALSE)),(VLOOKUP($T$7,'モンスター　一覧'!$B$4:$O$198,13,FALSE)*性格一覧!$F31)*0.01*(VLOOKUP($U$3,ギルド一覧!$B$4:$R$29,16,FALSE)))</f>
        <v>373.12</v>
      </c>
      <c r="Z40" s="194">
        <f>IF($U$4="通常",(VLOOKUP($T$7,'モンスター　一覧'!$B$4:$O$198,14,FALSE)*性格一覧!$G31)*0.01*(VLOOKUP($U$3,ギルド一覧!$B$4:$R$29,11,FALSE)),(VLOOKUP($T$7,'モンスター　一覧'!$B$4:$O$198,14,FALSE)*性格一覧!$G31)*0.01*(VLOOKUP($U$3,ギルド一覧!$B$4:$R$29,17,FALSE)))</f>
        <v>37.35</v>
      </c>
      <c r="AA40" s="205">
        <f t="shared" si="2"/>
        <v>1052.52</v>
      </c>
      <c r="AC40" s="152" t="s">
        <v>110</v>
      </c>
      <c r="AD40" s="150"/>
    </row>
    <row r="41" spans="2:30" s="55" customFormat="1" ht="12">
      <c r="B41" s="64" t="s">
        <v>48</v>
      </c>
      <c r="C41" s="193">
        <f>IF($C$4="通常",(VLOOKUP($B$7,'モンスター　一覧'!$B$4:$O$198,9,FALSE)*性格一覧!$B32)*0.01*(VLOOKUP($C$3,ギルド一覧!$B$4:$R$29,6,FALSE)),(VLOOKUP($B$7,'モンスター　一覧'!$B$4:$O$198,9,FALSE)*性格一覧!$B32)*0.01*(VLOOKUP($C$3,ギルド一覧!$B$4:$R$29,12,FALSE)))</f>
        <v>207.32</v>
      </c>
      <c r="D41" s="193">
        <f>IF($C$4="通常",(VLOOKUP($B$7,'モンスター　一覧'!$B$4:$O$198,10,FALSE)*性格一覧!$C32)*0.01*(VLOOKUP($C$3,ギルド一覧!$B$4:$R$29,7,FALSE)),(VLOOKUP($B$7,'モンスター　一覧'!$B$4:$O$198,10,FALSE)*性格一覧!$C32)*0.01*(VLOOKUP($C$3,ギルド一覧!$B$4:$R$29,13,FALSE)))</f>
        <v>59.13</v>
      </c>
      <c r="E41" s="193">
        <f>IF($C$4="通常",(VLOOKUP($B$7,'モンスター　一覧'!$B$4:$O$198,11,FALSE)*性格一覧!$D32)*0.01*(VLOOKUP($C$3,ギルド一覧!$B$4:$R$29,8,FALSE)),(VLOOKUP($B$7,'モンスター　一覧'!$B$4:$O$198,11,FALSE)*性格一覧!$D32)*0.01*(VLOOKUP($C$3,ギルド一覧!$B$4:$R$29,14,FALSE)))</f>
        <v>77.28</v>
      </c>
      <c r="F41" s="193">
        <f>IF($C$4="通常",(VLOOKUP($B$7,'モンスター　一覧'!$B$4:$O$198,12,FALSE)*性格一覧!$E32)*0.01*(VLOOKUP($C$3,ギルド一覧!$B$4:$R$29,9,FALSE)),(VLOOKUP($B$7,'モンスター　一覧'!$B$4:$O$198,12,FALSE)*性格一覧!$E32)*0.01*(VLOOKUP($C$3,ギルド一覧!$B$4:$R$29,15,FALSE)))</f>
        <v>88.56</v>
      </c>
      <c r="G41" s="193">
        <f>IF($C$4="通常",(VLOOKUP($B$7,'モンスター　一覧'!$B$4:$O$198,13,FALSE)*性格一覧!$F32)*0.01*(VLOOKUP($C$3,ギルド一覧!$B$4:$R$29,10,FALSE)),(VLOOKUP($B$7,'モンスター　一覧'!$B$4:$O$198,13,FALSE)*性格一覧!$F32)*0.01*(VLOOKUP($C$3,ギルド一覧!$B$4:$R$29,16,FALSE)))</f>
        <v>54.4</v>
      </c>
      <c r="H41" s="194">
        <f>IF($C$4="通常",(VLOOKUP($B$7,'モンスター　一覧'!$B$4:$O$198,14,FALSE)*性格一覧!$G32)*0.01*(VLOOKUP($C$3,ギルド一覧!$B$4:$R$29,11,FALSE)),(VLOOKUP($B$7,'モンスター　一覧'!$B$4:$O$198,14,FALSE)*性格一覧!$G32)*0.01*(VLOOKUP($C$3,ギルド一覧!$B$4:$R$29,17,FALSE)))</f>
        <v>121.66</v>
      </c>
      <c r="I41" s="205">
        <f t="shared" si="0"/>
        <v>608.35</v>
      </c>
      <c r="J41" s="56"/>
      <c r="K41" s="64" t="s">
        <v>48</v>
      </c>
      <c r="L41" s="193">
        <f>IF($L$4="通常",(VLOOKUP($K$7,'モンスター　一覧'!$B$4:$O$198,9,FALSE)*性格一覧!$B32)*0.01*(VLOOKUP($L$3,ギルド一覧!$B$4:$R$29,6,FALSE)),(VLOOKUP($K$7,'モンスター　一覧'!$B$4:$O$198,9,FALSE)*性格一覧!$B32)*0.01*(VLOOKUP($L$3,ギルド一覧!$B$4:$R$29,12,FALSE)))</f>
        <v>44.02</v>
      </c>
      <c r="M41" s="193">
        <f>IF($L$4="通常",(VLOOKUP($K$7,'モンスター　一覧'!$B$4:$O$198,10,FALSE)*性格一覧!$C32)*0.01*(VLOOKUP($L$3,ギルド一覧!$B$4:$R$29,7,FALSE)),(VLOOKUP($K$7,'モンスター　一覧'!$B$4:$O$198,10,FALSE)*性格一覧!$C32)*0.01*(VLOOKUP($L$3,ギルド一覧!$B$4:$R$29,13,FALSE)))</f>
        <v>31.59</v>
      </c>
      <c r="N41" s="193">
        <f>IF($L$4="通常",(VLOOKUP($K$7,'モンスター　一覧'!$B$4:$O$198,11,FALSE)*性格一覧!$D32)*0.01*(VLOOKUP($L$3,ギルド一覧!$B$4:$R$29,8,FALSE)),(VLOOKUP($K$7,'モンスター　一覧'!$B$4:$O$198,11,FALSE)*性格一覧!$D32)*0.01*(VLOOKUP($L$3,ギルド一覧!$B$4:$R$29,14,FALSE)))</f>
        <v>52.416000000000004</v>
      </c>
      <c r="O41" s="193">
        <f>IF($L$4="通常",(VLOOKUP($K$7,'モンスター　一覧'!$B$4:$O$198,12,FALSE)*性格一覧!$E32)*0.01*(VLOOKUP($L$3,ギルド一覧!$B$4:$R$29,9,FALSE)),(VLOOKUP($K$7,'モンスター　一覧'!$B$4:$O$198,12,FALSE)*性格一覧!$E32)*0.01*(VLOOKUP($L$3,ギルド一覧!$B$4:$R$29,15,FALSE)))</f>
        <v>485.02799999999996</v>
      </c>
      <c r="P41" s="193">
        <f>IF($L$4="通常",(VLOOKUP($K$7,'モンスター　一覧'!$B$4:$O$198,13,FALSE)*性格一覧!$F32)*0.01*(VLOOKUP($L$3,ギルド一覧!$B$4:$R$29,10,FALSE)),(VLOOKUP($K$7,'モンスター　一覧'!$B$4:$O$198,13,FALSE)*性格一覧!$F32)*0.01*(VLOOKUP($L$3,ギルド一覧!$B$4:$R$29,16,FALSE)))</f>
        <v>239.36</v>
      </c>
      <c r="Q41" s="194">
        <f>IF($L$4="通常",(VLOOKUP($K$7,'モンスター　一覧'!$B$4:$O$198,14,FALSE)*性格一覧!$G32)*0.01*(VLOOKUP($L$3,ギルド一覧!$B$4:$R$29,11,FALSE)),(VLOOKUP($K$7,'モンスター　一覧'!$B$4:$O$198,14,FALSE)*性格一覧!$G32)*0.01*(VLOOKUP($L$3,ギルド一覧!$B$4:$R$29,17,FALSE)))</f>
        <v>35.550000000000004</v>
      </c>
      <c r="R41" s="205">
        <f t="shared" si="1"/>
        <v>887.96399999999994</v>
      </c>
      <c r="T41" s="64" t="s">
        <v>48</v>
      </c>
      <c r="U41" s="193">
        <f>IF($U$4="通常",(VLOOKUP($T$7,'モンスター　一覧'!$B$4:$O$198,9,FALSE)*性格一覧!$B32)*0.01*(VLOOKUP($U$3,ギルド一覧!$B$4:$R$29,6,FALSE)),(VLOOKUP($T$7,'モンスター　一覧'!$B$4:$O$198,9,FALSE)*性格一覧!$B32)*0.01*(VLOOKUP($U$3,ギルド一覧!$B$4:$R$29,12,FALSE)))</f>
        <v>44.02</v>
      </c>
      <c r="V41" s="193">
        <f>IF($U$4="通常",(VLOOKUP($T$7,'モンスター　一覧'!$B$4:$O$198,10,FALSE)*性格一覧!$C32)*0.01*(VLOOKUP($U$3,ギルド一覧!$B$4:$R$29,7,FALSE)),(VLOOKUP($T$7,'モンスター　一覧'!$B$4:$O$198,10,FALSE)*性格一覧!$C32)*0.01*(VLOOKUP($U$3,ギルド一覧!$B$4:$R$29,13,FALSE)))</f>
        <v>31.59</v>
      </c>
      <c r="W41" s="193">
        <f>IF($U$4="通常",(VLOOKUP($T$7,'モンスター　一覧'!$B$4:$O$198,11,FALSE)*性格一覧!$D32)*0.01*(VLOOKUP($U$3,ギルド一覧!$B$4:$R$29,8,FALSE)),(VLOOKUP($T$7,'モンスター　一覧'!$B$4:$O$198,11,FALSE)*性格一覧!$D32)*0.01*(VLOOKUP($U$3,ギルド一覧!$B$4:$R$29,14,FALSE)))</f>
        <v>40.32</v>
      </c>
      <c r="X41" s="193">
        <f>IF($U$4="通常",(VLOOKUP($T$7,'モンスター　一覧'!$B$4:$O$198,12,FALSE)*性格一覧!$E32)*0.01*(VLOOKUP($U$3,ギルド一覧!$B$4:$R$29,9,FALSE)),(VLOOKUP($T$7,'モンスター　一覧'!$B$4:$O$198,12,FALSE)*性格一覧!$E32)*0.01*(VLOOKUP($U$3,ギルド一覧!$B$4:$R$29,15,FALSE)))</f>
        <v>538.91999999999996</v>
      </c>
      <c r="Y41" s="193">
        <f>IF($U$4="通常",(VLOOKUP($T$7,'モンスター　一覧'!$B$4:$O$198,13,FALSE)*性格一覧!$F32)*0.01*(VLOOKUP($U$3,ギルド一覧!$B$4:$R$29,10,FALSE)),(VLOOKUP($T$7,'モンスター　一覧'!$B$4:$O$198,13,FALSE)*性格一覧!$F32)*0.01*(VLOOKUP($U$3,ギルド一覧!$B$4:$R$29,16,FALSE)))</f>
        <v>239.36</v>
      </c>
      <c r="Z41" s="194">
        <f>IF($U$4="通常",(VLOOKUP($T$7,'モンスター　一覧'!$B$4:$O$198,14,FALSE)*性格一覧!$G32)*0.01*(VLOOKUP($U$3,ギルド一覧!$B$4:$R$29,11,FALSE)),(VLOOKUP($T$7,'モンスター　一覧'!$B$4:$O$198,14,FALSE)*性格一覧!$G32)*0.01*(VLOOKUP($U$3,ギルド一覧!$B$4:$R$29,17,FALSE)))</f>
        <v>35.550000000000004</v>
      </c>
      <c r="AA41" s="205">
        <f t="shared" si="2"/>
        <v>929.75999999999988</v>
      </c>
      <c r="AC41" s="152" t="s">
        <v>809</v>
      </c>
      <c r="AD41" s="150"/>
    </row>
    <row r="42" spans="2:30" s="55" customFormat="1" ht="12">
      <c r="B42" s="64" t="s">
        <v>50</v>
      </c>
      <c r="C42" s="193">
        <f>IF($C$4="通常",(VLOOKUP($B$7,'モンスター　一覧'!$B$4:$O$198,9,FALSE)*性格一覧!$B33)*0.01*(VLOOKUP($C$3,ギルド一覧!$B$4:$R$29,6,FALSE)),(VLOOKUP($B$7,'モンスター　一覧'!$B$4:$O$198,9,FALSE)*性格一覧!$B33)*0.01*(VLOOKUP($C$3,ギルド一覧!$B$4:$R$29,12,FALSE)))</f>
        <v>94.9</v>
      </c>
      <c r="D42" s="193">
        <f>IF($C$4="通常",(VLOOKUP($B$7,'モンスター　一覧'!$B$4:$O$198,10,FALSE)*性格一覧!$C33)*0.01*(VLOOKUP($C$3,ギルド一覧!$B$4:$R$29,7,FALSE)),(VLOOKUP($B$7,'モンスター　一覧'!$B$4:$O$198,10,FALSE)*性格一覧!$C33)*0.01*(VLOOKUP($C$3,ギルド一覧!$B$4:$R$29,13,FALSE)))</f>
        <v>84.68</v>
      </c>
      <c r="E42" s="193">
        <f>IF($C$4="通常",(VLOOKUP($B$7,'モンスター　一覧'!$B$4:$O$198,11,FALSE)*性格一覧!$D33)*0.01*(VLOOKUP($C$3,ギルド一覧!$B$4:$R$29,8,FALSE)),(VLOOKUP($B$7,'モンスター　一覧'!$B$4:$O$198,11,FALSE)*性格一覧!$D33)*0.01*(VLOOKUP($C$3,ギルド一覧!$B$4:$R$29,14,FALSE)))</f>
        <v>63.480000000000004</v>
      </c>
      <c r="F42" s="193">
        <f>IF($C$4="通常",(VLOOKUP($B$7,'モンスター　一覧'!$B$4:$O$198,12,FALSE)*性格一覧!$E33)*0.01*(VLOOKUP($C$3,ギルド一覧!$B$4:$R$29,9,FALSE)),(VLOOKUP($B$7,'モンスター　一覧'!$B$4:$O$198,12,FALSE)*性格一覧!$E33)*0.01*(VLOOKUP($C$3,ギルド一覧!$B$4:$R$29,15,FALSE)))</f>
        <v>92.66</v>
      </c>
      <c r="G42" s="193">
        <f>IF($C$4="通常",(VLOOKUP($B$7,'モンスター　一覧'!$B$4:$O$198,13,FALSE)*性格一覧!$F33)*0.01*(VLOOKUP($C$3,ギルド一覧!$B$4:$R$29,10,FALSE)),(VLOOKUP($B$7,'モンスター　一覧'!$B$4:$O$198,13,FALSE)*性格一覧!$F33)*0.01*(VLOOKUP($C$3,ギルド一覧!$B$4:$R$29,16,FALSE)))</f>
        <v>67.2</v>
      </c>
      <c r="H42" s="194">
        <f>IF($C$4="通常",(VLOOKUP($B$7,'モンスター　一覧'!$B$4:$O$198,14,FALSE)*性格一覧!$G33)*0.01*(VLOOKUP($C$3,ギルド一覧!$B$4:$R$29,11,FALSE)),(VLOOKUP($B$7,'モンスター　一覧'!$B$4:$O$198,14,FALSE)*性格一覧!$G33)*0.01*(VLOOKUP($C$3,ギルド一覧!$B$4:$R$29,17,FALSE)))</f>
        <v>180.18</v>
      </c>
      <c r="I42" s="205">
        <f t="shared" si="0"/>
        <v>583.1</v>
      </c>
      <c r="J42" s="56"/>
      <c r="K42" s="64" t="s">
        <v>50</v>
      </c>
      <c r="L42" s="193">
        <f>IF($L$4="通常",(VLOOKUP($K$7,'モンスター　一覧'!$B$4:$O$198,9,FALSE)*性格一覧!$B33)*0.01*(VLOOKUP($L$3,ギルド一覧!$B$4:$R$29,6,FALSE)),(VLOOKUP($K$7,'モンスター　一覧'!$B$4:$O$198,9,FALSE)*性格一覧!$B33)*0.01*(VLOOKUP($L$3,ギルド一覧!$B$4:$R$29,12,FALSE)))</f>
        <v>20.150000000000002</v>
      </c>
      <c r="M42" s="193">
        <f>IF($L$4="通常",(VLOOKUP($K$7,'モンスター　一覧'!$B$4:$O$198,10,FALSE)*性格一覧!$C33)*0.01*(VLOOKUP($L$3,ギルド一覧!$B$4:$R$29,7,FALSE)),(VLOOKUP($K$7,'モンスター　一覧'!$B$4:$O$198,10,FALSE)*性格一覧!$C33)*0.01*(VLOOKUP($L$3,ギルド一覧!$B$4:$R$29,13,FALSE)))</f>
        <v>45.24</v>
      </c>
      <c r="N42" s="193">
        <f>IF($L$4="通常",(VLOOKUP($K$7,'モンスター　一覧'!$B$4:$O$198,11,FALSE)*性格一覧!$D33)*0.01*(VLOOKUP($L$3,ギルド一覧!$B$4:$R$29,8,FALSE)),(VLOOKUP($K$7,'モンスター　一覧'!$B$4:$O$198,11,FALSE)*性格一覧!$D33)*0.01*(VLOOKUP($L$3,ギルド一覧!$B$4:$R$29,14,FALSE)))</f>
        <v>43.055999999999997</v>
      </c>
      <c r="O42" s="193">
        <f>IF($L$4="通常",(VLOOKUP($K$7,'モンスター　一覧'!$B$4:$O$198,12,FALSE)*性格一覧!$E33)*0.01*(VLOOKUP($L$3,ギルド一覧!$B$4:$R$29,9,FALSE)),(VLOOKUP($K$7,'モンスター　一覧'!$B$4:$O$198,12,FALSE)*性格一覧!$E33)*0.01*(VLOOKUP($L$3,ギルド一覧!$B$4:$R$29,15,FALSE)))</f>
        <v>507.483</v>
      </c>
      <c r="P42" s="193">
        <f>IF($L$4="通常",(VLOOKUP($K$7,'モンスター　一覧'!$B$4:$O$198,13,FALSE)*性格一覧!$F33)*0.01*(VLOOKUP($L$3,ギルド一覧!$B$4:$R$29,10,FALSE)),(VLOOKUP($K$7,'モンスター　一覧'!$B$4:$O$198,13,FALSE)*性格一覧!$F33)*0.01*(VLOOKUP($L$3,ギルド一覧!$B$4:$R$29,16,FALSE)))</f>
        <v>295.68</v>
      </c>
      <c r="Q42" s="194">
        <f>IF($L$4="通常",(VLOOKUP($K$7,'モンスター　一覧'!$B$4:$O$198,14,FALSE)*性格一覧!$G33)*0.01*(VLOOKUP($L$3,ギルド一覧!$B$4:$R$29,11,FALSE)),(VLOOKUP($K$7,'モンスター　一覧'!$B$4:$O$198,14,FALSE)*性格一覧!$G33)*0.01*(VLOOKUP($L$3,ギルド一覧!$B$4:$R$29,17,FALSE)))</f>
        <v>52.65</v>
      </c>
      <c r="R42" s="205">
        <f t="shared" si="1"/>
        <v>964.2589999999999</v>
      </c>
      <c r="T42" s="64" t="s">
        <v>50</v>
      </c>
      <c r="U42" s="193">
        <f>IF($U$4="通常",(VLOOKUP($T$7,'モンスター　一覧'!$B$4:$O$198,9,FALSE)*性格一覧!$B33)*0.01*(VLOOKUP($U$3,ギルド一覧!$B$4:$R$29,6,FALSE)),(VLOOKUP($T$7,'モンスター　一覧'!$B$4:$O$198,9,FALSE)*性格一覧!$B33)*0.01*(VLOOKUP($U$3,ギルド一覧!$B$4:$R$29,12,FALSE)))</f>
        <v>20.150000000000002</v>
      </c>
      <c r="V42" s="193">
        <f>IF($U$4="通常",(VLOOKUP($T$7,'モンスター　一覧'!$B$4:$O$198,10,FALSE)*性格一覧!$C33)*0.01*(VLOOKUP($U$3,ギルド一覧!$B$4:$R$29,7,FALSE)),(VLOOKUP($T$7,'モンスター　一覧'!$B$4:$O$198,10,FALSE)*性格一覧!$C33)*0.01*(VLOOKUP($U$3,ギルド一覧!$B$4:$R$29,13,FALSE)))</f>
        <v>45.24</v>
      </c>
      <c r="W42" s="193">
        <f>IF($U$4="通常",(VLOOKUP($T$7,'モンスター　一覧'!$B$4:$O$198,11,FALSE)*性格一覧!$D33)*0.01*(VLOOKUP($U$3,ギルド一覧!$B$4:$R$29,8,FALSE)),(VLOOKUP($T$7,'モンスター　一覧'!$B$4:$O$198,11,FALSE)*性格一覧!$D33)*0.01*(VLOOKUP($U$3,ギルド一覧!$B$4:$R$29,14,FALSE)))</f>
        <v>33.119999999999997</v>
      </c>
      <c r="X42" s="193">
        <f>IF($U$4="通常",(VLOOKUP($T$7,'モンスター　一覧'!$B$4:$O$198,12,FALSE)*性格一覧!$E33)*0.01*(VLOOKUP($U$3,ギルド一覧!$B$4:$R$29,9,FALSE)),(VLOOKUP($T$7,'モンスター　一覧'!$B$4:$O$198,12,FALSE)*性格一覧!$E33)*0.01*(VLOOKUP($U$3,ギルド一覧!$B$4:$R$29,15,FALSE)))</f>
        <v>563.87</v>
      </c>
      <c r="Y42" s="193">
        <f>IF($U$4="通常",(VLOOKUP($T$7,'モンスター　一覧'!$B$4:$O$198,13,FALSE)*性格一覧!$F33)*0.01*(VLOOKUP($U$3,ギルド一覧!$B$4:$R$29,10,FALSE)),(VLOOKUP($T$7,'モンスター　一覧'!$B$4:$O$198,13,FALSE)*性格一覧!$F33)*0.01*(VLOOKUP($U$3,ギルド一覧!$B$4:$R$29,16,FALSE)))</f>
        <v>295.68</v>
      </c>
      <c r="Z42" s="194">
        <f>IF($U$4="通常",(VLOOKUP($T$7,'モンスター　一覧'!$B$4:$O$198,14,FALSE)*性格一覧!$G33)*0.01*(VLOOKUP($U$3,ギルド一覧!$B$4:$R$29,11,FALSE)),(VLOOKUP($T$7,'モンスター　一覧'!$B$4:$O$198,14,FALSE)*性格一覧!$G33)*0.01*(VLOOKUP($U$3,ギルド一覧!$B$4:$R$29,17,FALSE)))</f>
        <v>52.65</v>
      </c>
      <c r="AA42" s="205">
        <f t="shared" si="2"/>
        <v>1010.7099999999999</v>
      </c>
      <c r="AC42" s="152" t="s">
        <v>214</v>
      </c>
      <c r="AD42" s="150"/>
    </row>
    <row r="43" spans="2:30" s="55" customFormat="1" ht="12">
      <c r="B43" s="64" t="s">
        <v>51</v>
      </c>
      <c r="C43" s="193">
        <f>IF($C$4="通常",(VLOOKUP($B$7,'モンスター　一覧'!$B$4:$O$198,9,FALSE)*性格一覧!$B34)*0.01*(VLOOKUP($C$3,ギルド一覧!$B$4:$R$29,6,FALSE)),(VLOOKUP($B$7,'モンスター　一覧'!$B$4:$O$198,9,FALSE)*性格一覧!$B34)*0.01*(VLOOKUP($C$3,ギルド一覧!$B$4:$R$29,12,FALSE)))</f>
        <v>170.82</v>
      </c>
      <c r="D43" s="193">
        <f>IF($C$4="通常",(VLOOKUP($B$7,'モンスター　一覧'!$B$4:$O$198,10,FALSE)*性格一覧!$C34)*0.01*(VLOOKUP($C$3,ギルド一覧!$B$4:$R$29,7,FALSE)),(VLOOKUP($B$7,'モンスター　一覧'!$B$4:$O$198,10,FALSE)*性格一覧!$C34)*0.01*(VLOOKUP($C$3,ギルド一覧!$B$4:$R$29,13,FALSE)))</f>
        <v>48.910000000000004</v>
      </c>
      <c r="E43" s="193">
        <f>IF($C$4="通常",(VLOOKUP($B$7,'モンスター　一覧'!$B$4:$O$198,11,FALSE)*性格一覧!$D34)*0.01*(VLOOKUP($C$3,ギルド一覧!$B$4:$R$29,8,FALSE)),(VLOOKUP($B$7,'モンスター　一覧'!$B$4:$O$198,11,FALSE)*性格一覧!$D34)*0.01*(VLOOKUP($C$3,ギルド一覧!$B$4:$R$29,14,FALSE)))</f>
        <v>87.63</v>
      </c>
      <c r="F43" s="193">
        <f>IF($C$4="通常",(VLOOKUP($B$7,'モンスター　一覧'!$B$4:$O$198,12,FALSE)*性格一覧!$E34)*0.01*(VLOOKUP($C$3,ギルド一覧!$B$4:$R$29,9,FALSE)),(VLOOKUP($B$7,'モンスター　一覧'!$B$4:$O$198,12,FALSE)*性格一覧!$E34)*0.01*(VLOOKUP($C$3,ギルド一覧!$B$4:$R$29,15,FALSE)))</f>
        <v>62.32</v>
      </c>
      <c r="G43" s="193">
        <f>IF($C$4="通常",(VLOOKUP($B$7,'モンスター　一覧'!$B$4:$O$198,13,FALSE)*性格一覧!$F34)*0.01*(VLOOKUP($C$3,ギルド一覧!$B$4:$R$29,10,FALSE)),(VLOOKUP($B$7,'モンスター　一覧'!$B$4:$O$198,13,FALSE)*性格一覧!$F34)*0.01*(VLOOKUP($C$3,ギルド一覧!$B$4:$R$29,16,FALSE)))</f>
        <v>92</v>
      </c>
      <c r="H43" s="194">
        <f>IF($C$4="通常",(VLOOKUP($B$7,'モンスター　一覧'!$B$4:$O$198,14,FALSE)*性格一覧!$G34)*0.01*(VLOOKUP($C$3,ギルド一覧!$B$4:$R$29,11,FALSE)),(VLOOKUP($B$7,'モンスター　一覧'!$B$4:$O$198,14,FALSE)*性格一覧!$G34)*0.01*(VLOOKUP($C$3,ギルド一覧!$B$4:$R$29,17,FALSE)))</f>
        <v>109.34</v>
      </c>
      <c r="I43" s="205">
        <f t="shared" si="0"/>
        <v>571.02</v>
      </c>
      <c r="J43" s="56"/>
      <c r="K43" s="64" t="s">
        <v>51</v>
      </c>
      <c r="L43" s="193">
        <f>IF($L$4="通常",(VLOOKUP($K$7,'モンスター　一覧'!$B$4:$O$198,9,FALSE)*性格一覧!$B34)*0.01*(VLOOKUP($L$3,ギルド一覧!$B$4:$R$29,6,FALSE)),(VLOOKUP($K$7,'モンスター　一覧'!$B$4:$O$198,9,FALSE)*性格一覧!$B34)*0.01*(VLOOKUP($L$3,ギルド一覧!$B$4:$R$29,12,FALSE)))</f>
        <v>36.270000000000003</v>
      </c>
      <c r="M43" s="193">
        <f>IF($L$4="通常",(VLOOKUP($K$7,'モンスター　一覧'!$B$4:$O$198,10,FALSE)*性格一覧!$C34)*0.01*(VLOOKUP($L$3,ギルド一覧!$B$4:$R$29,7,FALSE)),(VLOOKUP($K$7,'モンスター　一覧'!$B$4:$O$198,10,FALSE)*性格一覧!$C34)*0.01*(VLOOKUP($L$3,ギルド一覧!$B$4:$R$29,13,FALSE)))</f>
        <v>26.13</v>
      </c>
      <c r="N43" s="193">
        <f>IF($L$4="通常",(VLOOKUP($K$7,'モンスター　一覧'!$B$4:$O$198,11,FALSE)*性格一覧!$D34)*0.01*(VLOOKUP($L$3,ギルド一覧!$B$4:$R$29,8,FALSE)),(VLOOKUP($K$7,'モンスター　一覧'!$B$4:$O$198,11,FALSE)*性格一覧!$D34)*0.01*(VLOOKUP($L$3,ギルド一覧!$B$4:$R$29,14,FALSE)))</f>
        <v>59.436</v>
      </c>
      <c r="O43" s="193">
        <f>IF($L$4="通常",(VLOOKUP($K$7,'モンスター　一覧'!$B$4:$O$198,12,FALSE)*性格一覧!$E34)*0.01*(VLOOKUP($L$3,ギルド一覧!$B$4:$R$29,9,FALSE)),(VLOOKUP($K$7,'モンスター　一覧'!$B$4:$O$198,12,FALSE)*性格一覧!$E34)*0.01*(VLOOKUP($L$3,ギルド一覧!$B$4:$R$29,15,FALSE)))</f>
        <v>341.31600000000003</v>
      </c>
      <c r="P43" s="193">
        <f>IF($L$4="通常",(VLOOKUP($K$7,'モンスター　一覧'!$B$4:$O$198,13,FALSE)*性格一覧!$F34)*0.01*(VLOOKUP($L$3,ギルド一覧!$B$4:$R$29,10,FALSE)),(VLOOKUP($K$7,'モンスター　一覧'!$B$4:$O$198,13,FALSE)*性格一覧!$F34)*0.01*(VLOOKUP($L$3,ギルド一覧!$B$4:$R$29,16,FALSE)))</f>
        <v>404.8</v>
      </c>
      <c r="Q43" s="194">
        <f>IF($L$4="通常",(VLOOKUP($K$7,'モンスター　一覧'!$B$4:$O$198,14,FALSE)*性格一覧!$G34)*0.01*(VLOOKUP($L$3,ギルド一覧!$B$4:$R$29,11,FALSE)),(VLOOKUP($K$7,'モンスター　一覧'!$B$4:$O$198,14,FALSE)*性格一覧!$G34)*0.01*(VLOOKUP($L$3,ギルド一覧!$B$4:$R$29,17,FALSE)))</f>
        <v>31.95</v>
      </c>
      <c r="R43" s="205">
        <f t="shared" si="1"/>
        <v>899.90200000000004</v>
      </c>
      <c r="T43" s="64" t="s">
        <v>51</v>
      </c>
      <c r="U43" s="193">
        <f>IF($U$4="通常",(VLOOKUP($T$7,'モンスター　一覧'!$B$4:$O$198,9,FALSE)*性格一覧!$B34)*0.01*(VLOOKUP($U$3,ギルド一覧!$B$4:$R$29,6,FALSE)),(VLOOKUP($T$7,'モンスター　一覧'!$B$4:$O$198,9,FALSE)*性格一覧!$B34)*0.01*(VLOOKUP($U$3,ギルド一覧!$B$4:$R$29,12,FALSE)))</f>
        <v>36.270000000000003</v>
      </c>
      <c r="V43" s="193">
        <f>IF($U$4="通常",(VLOOKUP($T$7,'モンスター　一覧'!$B$4:$O$198,10,FALSE)*性格一覧!$C34)*0.01*(VLOOKUP($U$3,ギルド一覧!$B$4:$R$29,7,FALSE)),(VLOOKUP($T$7,'モンスター　一覧'!$B$4:$O$198,10,FALSE)*性格一覧!$C34)*0.01*(VLOOKUP($U$3,ギルド一覧!$B$4:$R$29,13,FALSE)))</f>
        <v>26.13</v>
      </c>
      <c r="W43" s="193">
        <f>IF($U$4="通常",(VLOOKUP($T$7,'モンスター　一覧'!$B$4:$O$198,11,FALSE)*性格一覧!$D34)*0.01*(VLOOKUP($U$3,ギルド一覧!$B$4:$R$29,8,FALSE)),(VLOOKUP($T$7,'モンスター　一覧'!$B$4:$O$198,11,FALSE)*性格一覧!$D34)*0.01*(VLOOKUP($U$3,ギルド一覧!$B$4:$R$29,14,FALSE)))</f>
        <v>45.72</v>
      </c>
      <c r="X43" s="193">
        <f>IF($U$4="通常",(VLOOKUP($T$7,'モンスター　一覧'!$B$4:$O$198,12,FALSE)*性格一覧!$E34)*0.01*(VLOOKUP($U$3,ギルド一覧!$B$4:$R$29,9,FALSE)),(VLOOKUP($T$7,'モンスター　一覧'!$B$4:$O$198,12,FALSE)*性格一覧!$E34)*0.01*(VLOOKUP($U$3,ギルド一覧!$B$4:$R$29,15,FALSE)))</f>
        <v>379.24</v>
      </c>
      <c r="Y43" s="193">
        <f>IF($U$4="通常",(VLOOKUP($T$7,'モンスター　一覧'!$B$4:$O$198,13,FALSE)*性格一覧!$F34)*0.01*(VLOOKUP($U$3,ギルド一覧!$B$4:$R$29,10,FALSE)),(VLOOKUP($T$7,'モンスター　一覧'!$B$4:$O$198,13,FALSE)*性格一覧!$F34)*0.01*(VLOOKUP($U$3,ギルド一覧!$B$4:$R$29,16,FALSE)))</f>
        <v>404.8</v>
      </c>
      <c r="Z43" s="194">
        <f>IF($U$4="通常",(VLOOKUP($T$7,'モンスター　一覧'!$B$4:$O$198,14,FALSE)*性格一覧!$G34)*0.01*(VLOOKUP($U$3,ギルド一覧!$B$4:$R$29,11,FALSE)),(VLOOKUP($T$7,'モンスター　一覧'!$B$4:$O$198,14,FALSE)*性格一覧!$G34)*0.01*(VLOOKUP($U$3,ギルド一覧!$B$4:$R$29,17,FALSE)))</f>
        <v>31.95</v>
      </c>
      <c r="AA43" s="205">
        <f t="shared" si="2"/>
        <v>924.11000000000013</v>
      </c>
      <c r="AC43" s="152" t="s">
        <v>163</v>
      </c>
      <c r="AD43" s="150"/>
    </row>
    <row r="44" spans="2:30" s="55" customFormat="1" ht="12">
      <c r="B44" s="64" t="s">
        <v>52</v>
      </c>
      <c r="C44" s="193">
        <f>IF($C$4="通常",(VLOOKUP($B$7,'モンスター　一覧'!$B$4:$O$198,9,FALSE)*性格一覧!$B35)*0.01*(VLOOKUP($C$3,ギルド一覧!$B$4:$R$29,6,FALSE)),(VLOOKUP($B$7,'モンスター　一覧'!$B$4:$O$198,9,FALSE)*性格一覧!$B35)*0.01*(VLOOKUP($C$3,ギルド一覧!$B$4:$R$29,12,FALSE)))</f>
        <v>128.47999999999999</v>
      </c>
      <c r="D44" s="193">
        <f>IF($C$4="通常",(VLOOKUP($B$7,'モンスター　一覧'!$B$4:$O$198,10,FALSE)*性格一覧!$C35)*0.01*(VLOOKUP($C$3,ギルド一覧!$B$4:$R$29,7,FALSE)),(VLOOKUP($B$7,'モンスター　一覧'!$B$4:$O$198,10,FALSE)*性格一覧!$C35)*0.01*(VLOOKUP($C$3,ギルド一覧!$B$4:$R$29,13,FALSE)))</f>
        <v>87.600000000000009</v>
      </c>
      <c r="E44" s="193">
        <f>IF($C$4="通常",(VLOOKUP($B$7,'モンスター　一覧'!$B$4:$O$198,11,FALSE)*性格一覧!$D35)*0.01*(VLOOKUP($C$3,ギルド一覧!$B$4:$R$29,8,FALSE)),(VLOOKUP($B$7,'モンスター　一覧'!$B$4:$O$198,11,FALSE)*性格一覧!$D35)*0.01*(VLOOKUP($C$3,ギルド一覧!$B$4:$R$29,14,FALSE)))</f>
        <v>69</v>
      </c>
      <c r="F44" s="193">
        <f>IF($C$4="通常",(VLOOKUP($B$7,'モンスター　一覧'!$B$4:$O$198,12,FALSE)*性格一覧!$E35)*0.01*(VLOOKUP($C$3,ギルド一覧!$B$4:$R$29,9,FALSE)),(VLOOKUP($B$7,'モンスター　一覧'!$B$4:$O$198,12,FALSE)*性格一覧!$E35)*0.01*(VLOOKUP($C$3,ギルド一覧!$B$4:$R$29,15,FALSE)))</f>
        <v>82</v>
      </c>
      <c r="G44" s="193">
        <f>IF($C$4="通常",(VLOOKUP($B$7,'モンスター　一覧'!$B$4:$O$198,13,FALSE)*性格一覧!$F35)*0.01*(VLOOKUP($C$3,ギルド一覧!$B$4:$R$29,10,FALSE)),(VLOOKUP($B$7,'モンスター　一覧'!$B$4:$O$198,13,FALSE)*性格一覧!$F35)*0.01*(VLOOKUP($C$3,ギルド一覧!$B$4:$R$29,16,FALSE)))</f>
        <v>64</v>
      </c>
      <c r="H44" s="194">
        <f>IF($C$4="通常",(VLOOKUP($B$7,'モンスター　一覧'!$B$4:$O$198,14,FALSE)*性格一覧!$G35)*0.01*(VLOOKUP($C$3,ギルド一覧!$B$4:$R$29,11,FALSE)),(VLOOKUP($B$7,'モンスター　一覧'!$B$4:$O$198,14,FALSE)*性格一覧!$G35)*0.01*(VLOOKUP($C$3,ギルド一覧!$B$4:$R$29,17,FALSE)))</f>
        <v>183.26</v>
      </c>
      <c r="I44" s="205">
        <f t="shared" si="0"/>
        <v>614.33999999999992</v>
      </c>
      <c r="J44" s="56"/>
      <c r="K44" s="64" t="s">
        <v>52</v>
      </c>
      <c r="L44" s="193">
        <f>IF($L$4="通常",(VLOOKUP($K$7,'モンスター　一覧'!$B$4:$O$198,9,FALSE)*性格一覧!$B35)*0.01*(VLOOKUP($L$3,ギルド一覧!$B$4:$R$29,6,FALSE)),(VLOOKUP($K$7,'モンスター　一覧'!$B$4:$O$198,9,FALSE)*性格一覧!$B35)*0.01*(VLOOKUP($L$3,ギルド一覧!$B$4:$R$29,12,FALSE)))</f>
        <v>27.28</v>
      </c>
      <c r="M44" s="193">
        <f>IF($L$4="通常",(VLOOKUP($K$7,'モンスター　一覧'!$B$4:$O$198,10,FALSE)*性格一覧!$C35)*0.01*(VLOOKUP($L$3,ギルド一覧!$B$4:$R$29,7,FALSE)),(VLOOKUP($K$7,'モンスター　一覧'!$B$4:$O$198,10,FALSE)*性格一覧!$C35)*0.01*(VLOOKUP($L$3,ギルド一覧!$B$4:$R$29,13,FALSE)))</f>
        <v>46.800000000000004</v>
      </c>
      <c r="N44" s="193">
        <f>IF($L$4="通常",(VLOOKUP($K$7,'モンスター　一覧'!$B$4:$O$198,11,FALSE)*性格一覧!$D35)*0.01*(VLOOKUP($L$3,ギルド一覧!$B$4:$R$29,8,FALSE)),(VLOOKUP($K$7,'モンスター　一覧'!$B$4:$O$198,11,FALSE)*性格一覧!$D35)*0.01*(VLOOKUP($L$3,ギルド一覧!$B$4:$R$29,14,FALSE)))</f>
        <v>46.800000000000004</v>
      </c>
      <c r="O44" s="193">
        <f>IF($L$4="通常",(VLOOKUP($K$7,'モンスター　一覧'!$B$4:$O$198,12,FALSE)*性格一覧!$E35)*0.01*(VLOOKUP($L$3,ギルド一覧!$B$4:$R$29,9,FALSE)),(VLOOKUP($K$7,'モンスター　一覧'!$B$4:$O$198,12,FALSE)*性格一覧!$E35)*0.01*(VLOOKUP($L$3,ギルド一覧!$B$4:$R$29,15,FALSE)))</f>
        <v>449.1</v>
      </c>
      <c r="P44" s="193">
        <f>IF($L$4="通常",(VLOOKUP($K$7,'モンスター　一覧'!$B$4:$O$198,13,FALSE)*性格一覧!$F35)*0.01*(VLOOKUP($L$3,ギルド一覧!$B$4:$R$29,10,FALSE)),(VLOOKUP($K$7,'モンスター　一覧'!$B$4:$O$198,13,FALSE)*性格一覧!$F35)*0.01*(VLOOKUP($L$3,ギルド一覧!$B$4:$R$29,16,FALSE)))</f>
        <v>281.60000000000002</v>
      </c>
      <c r="Q44" s="194">
        <f>IF($L$4="通常",(VLOOKUP($K$7,'モンスター　一覧'!$B$4:$O$198,14,FALSE)*性格一覧!$G35)*0.01*(VLOOKUP($L$3,ギルド一覧!$B$4:$R$29,11,FALSE)),(VLOOKUP($K$7,'モンスター　一覧'!$B$4:$O$198,14,FALSE)*性格一覧!$G35)*0.01*(VLOOKUP($L$3,ギルド一覧!$B$4:$R$29,17,FALSE)))</f>
        <v>53.550000000000004</v>
      </c>
      <c r="R44" s="205">
        <f t="shared" si="1"/>
        <v>905.13</v>
      </c>
      <c r="T44" s="64" t="s">
        <v>52</v>
      </c>
      <c r="U44" s="193">
        <f>IF($U$4="通常",(VLOOKUP($T$7,'モンスター　一覧'!$B$4:$O$198,9,FALSE)*性格一覧!$B35)*0.01*(VLOOKUP($U$3,ギルド一覧!$B$4:$R$29,6,FALSE)),(VLOOKUP($T$7,'モンスター　一覧'!$B$4:$O$198,9,FALSE)*性格一覧!$B35)*0.01*(VLOOKUP($U$3,ギルド一覧!$B$4:$R$29,12,FALSE)))</f>
        <v>27.28</v>
      </c>
      <c r="V44" s="193">
        <f>IF($U$4="通常",(VLOOKUP($T$7,'モンスター　一覧'!$B$4:$O$198,10,FALSE)*性格一覧!$C35)*0.01*(VLOOKUP($U$3,ギルド一覧!$B$4:$R$29,7,FALSE)),(VLOOKUP($T$7,'モンスター　一覧'!$B$4:$O$198,10,FALSE)*性格一覧!$C35)*0.01*(VLOOKUP($U$3,ギルド一覧!$B$4:$R$29,13,FALSE)))</f>
        <v>46.800000000000004</v>
      </c>
      <c r="W44" s="193">
        <f>IF($U$4="通常",(VLOOKUP($T$7,'モンスター　一覧'!$B$4:$O$198,11,FALSE)*性格一覧!$D35)*0.01*(VLOOKUP($U$3,ギルド一覧!$B$4:$R$29,8,FALSE)),(VLOOKUP($T$7,'モンスター　一覧'!$B$4:$O$198,11,FALSE)*性格一覧!$D35)*0.01*(VLOOKUP($U$3,ギルド一覧!$B$4:$R$29,14,FALSE)))</f>
        <v>36</v>
      </c>
      <c r="X44" s="193">
        <f>IF($U$4="通常",(VLOOKUP($T$7,'モンスター　一覧'!$B$4:$O$198,12,FALSE)*性格一覧!$E35)*0.01*(VLOOKUP($U$3,ギルド一覧!$B$4:$R$29,9,FALSE)),(VLOOKUP($T$7,'モンスター　一覧'!$B$4:$O$198,12,FALSE)*性格一覧!$E35)*0.01*(VLOOKUP($U$3,ギルド一覧!$B$4:$R$29,15,FALSE)))</f>
        <v>499</v>
      </c>
      <c r="Y44" s="193">
        <f>IF($U$4="通常",(VLOOKUP($T$7,'モンスター　一覧'!$B$4:$O$198,13,FALSE)*性格一覧!$F35)*0.01*(VLOOKUP($U$3,ギルド一覧!$B$4:$R$29,10,FALSE)),(VLOOKUP($T$7,'モンスター　一覧'!$B$4:$O$198,13,FALSE)*性格一覧!$F35)*0.01*(VLOOKUP($U$3,ギルド一覧!$B$4:$R$29,16,FALSE)))</f>
        <v>281.60000000000002</v>
      </c>
      <c r="Z44" s="194">
        <f>IF($U$4="通常",(VLOOKUP($T$7,'モンスター　一覧'!$B$4:$O$198,14,FALSE)*性格一覧!$G35)*0.01*(VLOOKUP($U$3,ギルド一覧!$B$4:$R$29,11,FALSE)),(VLOOKUP($T$7,'モンスター　一覧'!$B$4:$O$198,14,FALSE)*性格一覧!$G35)*0.01*(VLOOKUP($U$3,ギルド一覧!$B$4:$R$29,17,FALSE)))</f>
        <v>53.550000000000004</v>
      </c>
      <c r="AA44" s="205">
        <f t="shared" si="2"/>
        <v>944.23</v>
      </c>
      <c r="AC44" s="152" t="s">
        <v>100</v>
      </c>
      <c r="AD44" s="150"/>
    </row>
    <row r="45" spans="2:30" s="55" customFormat="1" ht="12">
      <c r="B45" s="64" t="s">
        <v>53</v>
      </c>
      <c r="C45" s="193">
        <f>IF($C$4="通常",(VLOOKUP($B$7,'モンスター　一覧'!$B$4:$O$198,9,FALSE)*性格一覧!$B36)*0.01*(VLOOKUP($C$3,ギルド一覧!$B$4:$R$29,6,FALSE)),(VLOOKUP($B$7,'モンスター　一覧'!$B$4:$O$198,9,FALSE)*性格一覧!$B36)*0.01*(VLOOKUP($C$3,ギルド一覧!$B$4:$R$29,12,FALSE)))</f>
        <v>159.14000000000001</v>
      </c>
      <c r="D45" s="193">
        <f>IF($C$4="通常",(VLOOKUP($B$7,'モンスター　一覧'!$B$4:$O$198,10,FALSE)*性格一覧!$C36)*0.01*(VLOOKUP($C$3,ギルド一覧!$B$4:$R$29,7,FALSE)),(VLOOKUP($B$7,'モンスター　一覧'!$B$4:$O$198,10,FALSE)*性格一覧!$C36)*0.01*(VLOOKUP($C$3,ギルド一覧!$B$4:$R$29,13,FALSE)))</f>
        <v>75.92</v>
      </c>
      <c r="E45" s="193">
        <f>IF($C$4="通常",(VLOOKUP($B$7,'モンスター　一覧'!$B$4:$O$198,11,FALSE)*性格一覧!$D36)*0.01*(VLOOKUP($C$3,ギルド一覧!$B$4:$R$29,8,FALSE)),(VLOOKUP($B$7,'モンスター　一覧'!$B$4:$O$198,11,FALSE)*性格一覧!$D36)*0.01*(VLOOKUP($C$3,ギルド一覧!$B$4:$R$29,14,FALSE)))</f>
        <v>74.52</v>
      </c>
      <c r="F45" s="193">
        <f>IF($C$4="通常",(VLOOKUP($B$7,'モンスター　一覧'!$B$4:$O$198,12,FALSE)*性格一覧!$E36)*0.01*(VLOOKUP($C$3,ギルド一覧!$B$4:$R$29,9,FALSE)),(VLOOKUP($B$7,'モンスター　一覧'!$B$4:$O$198,12,FALSE)*性格一覧!$E36)*0.01*(VLOOKUP($C$3,ギルド一覧!$B$4:$R$29,15,FALSE)))</f>
        <v>115.62</v>
      </c>
      <c r="G45" s="193">
        <f>IF($C$4="通常",(VLOOKUP($B$7,'モンスター　一覧'!$B$4:$O$198,13,FALSE)*性格一覧!$F36)*0.01*(VLOOKUP($C$3,ギルド一覧!$B$4:$R$29,10,FALSE)),(VLOOKUP($B$7,'モンスター　一覧'!$B$4:$O$198,13,FALSE)*性格一覧!$F36)*0.01*(VLOOKUP($C$3,ギルド一覧!$B$4:$R$29,16,FALSE)))</f>
        <v>42.4</v>
      </c>
      <c r="H45" s="194">
        <f>IF($C$4="通常",(VLOOKUP($B$7,'モンスター　一覧'!$B$4:$O$198,14,FALSE)*性格一覧!$G36)*0.01*(VLOOKUP($C$3,ギルド一覧!$B$4:$R$29,11,FALSE)),(VLOOKUP($B$7,'モンスター　一覧'!$B$4:$O$198,14,FALSE)*性格一覧!$G36)*0.01*(VLOOKUP($C$3,ギルド一覧!$B$4:$R$29,17,FALSE)))</f>
        <v>167.86</v>
      </c>
      <c r="I45" s="205">
        <f t="shared" si="0"/>
        <v>635.46</v>
      </c>
      <c r="J45" s="56"/>
      <c r="K45" s="64" t="s">
        <v>53</v>
      </c>
      <c r="L45" s="193">
        <f>IF($L$4="通常",(VLOOKUP($K$7,'モンスター　一覧'!$B$4:$O$198,9,FALSE)*性格一覧!$B36)*0.01*(VLOOKUP($L$3,ギルド一覧!$B$4:$R$29,6,FALSE)),(VLOOKUP($K$7,'モンスター　一覧'!$B$4:$O$198,9,FALSE)*性格一覧!$B36)*0.01*(VLOOKUP($L$3,ギルド一覧!$B$4:$R$29,12,FALSE)))</f>
        <v>33.79</v>
      </c>
      <c r="M45" s="193">
        <f>IF($L$4="通常",(VLOOKUP($K$7,'モンスター　一覧'!$B$4:$O$198,10,FALSE)*性格一覧!$C36)*0.01*(VLOOKUP($L$3,ギルド一覧!$B$4:$R$29,7,FALSE)),(VLOOKUP($K$7,'モンスター　一覧'!$B$4:$O$198,10,FALSE)*性格一覧!$C36)*0.01*(VLOOKUP($L$3,ギルド一覧!$B$4:$R$29,13,FALSE)))</f>
        <v>40.56</v>
      </c>
      <c r="N45" s="193">
        <f>IF($L$4="通常",(VLOOKUP($K$7,'モンスター　一覧'!$B$4:$O$198,11,FALSE)*性格一覧!$D36)*0.01*(VLOOKUP($L$3,ギルド一覧!$B$4:$R$29,8,FALSE)),(VLOOKUP($K$7,'モンスター　一覧'!$B$4:$O$198,11,FALSE)*性格一覧!$D36)*0.01*(VLOOKUP($L$3,ギルド一覧!$B$4:$R$29,14,FALSE)))</f>
        <v>50.544000000000004</v>
      </c>
      <c r="O45" s="193">
        <f>IF($L$4="通常",(VLOOKUP($K$7,'モンスター　一覧'!$B$4:$O$198,12,FALSE)*性格一覧!$E36)*0.01*(VLOOKUP($L$3,ギルド一覧!$B$4:$R$29,9,FALSE)),(VLOOKUP($K$7,'モンスター　一覧'!$B$4:$O$198,12,FALSE)*性格一覧!$E36)*0.01*(VLOOKUP($L$3,ギルド一覧!$B$4:$R$29,15,FALSE)))</f>
        <v>633.23099999999999</v>
      </c>
      <c r="P45" s="193">
        <f>IF($L$4="通常",(VLOOKUP($K$7,'モンスター　一覧'!$B$4:$O$198,13,FALSE)*性格一覧!$F36)*0.01*(VLOOKUP($L$3,ギルド一覧!$B$4:$R$29,10,FALSE)),(VLOOKUP($K$7,'モンスター　一覧'!$B$4:$O$198,13,FALSE)*性格一覧!$F36)*0.01*(VLOOKUP($L$3,ギルド一覧!$B$4:$R$29,16,FALSE)))</f>
        <v>186.56</v>
      </c>
      <c r="Q45" s="194">
        <f>IF($L$4="通常",(VLOOKUP($K$7,'モンスター　一覧'!$B$4:$O$198,14,FALSE)*性格一覧!$G36)*0.01*(VLOOKUP($L$3,ギルド一覧!$B$4:$R$29,11,FALSE)),(VLOOKUP($K$7,'モンスター　一覧'!$B$4:$O$198,14,FALSE)*性格一覧!$G36)*0.01*(VLOOKUP($L$3,ギルド一覧!$B$4:$R$29,17,FALSE)))</f>
        <v>49.050000000000004</v>
      </c>
      <c r="R45" s="205">
        <f t="shared" si="1"/>
        <v>993.7349999999999</v>
      </c>
      <c r="T45" s="64" t="s">
        <v>53</v>
      </c>
      <c r="U45" s="193">
        <f>IF($U$4="通常",(VLOOKUP($T$7,'モンスター　一覧'!$B$4:$O$198,9,FALSE)*性格一覧!$B36)*0.01*(VLOOKUP($U$3,ギルド一覧!$B$4:$R$29,6,FALSE)),(VLOOKUP($T$7,'モンスター　一覧'!$B$4:$O$198,9,FALSE)*性格一覧!$B36)*0.01*(VLOOKUP($U$3,ギルド一覧!$B$4:$R$29,12,FALSE)))</f>
        <v>33.79</v>
      </c>
      <c r="V45" s="193">
        <f>IF($U$4="通常",(VLOOKUP($T$7,'モンスター　一覧'!$B$4:$O$198,10,FALSE)*性格一覧!$C36)*0.01*(VLOOKUP($U$3,ギルド一覧!$B$4:$R$29,7,FALSE)),(VLOOKUP($T$7,'モンスター　一覧'!$B$4:$O$198,10,FALSE)*性格一覧!$C36)*0.01*(VLOOKUP($U$3,ギルド一覧!$B$4:$R$29,13,FALSE)))</f>
        <v>40.56</v>
      </c>
      <c r="W45" s="193">
        <f>IF($U$4="通常",(VLOOKUP($T$7,'モンスター　一覧'!$B$4:$O$198,11,FALSE)*性格一覧!$D36)*0.01*(VLOOKUP($U$3,ギルド一覧!$B$4:$R$29,8,FALSE)),(VLOOKUP($T$7,'モンスター　一覧'!$B$4:$O$198,11,FALSE)*性格一覧!$D36)*0.01*(VLOOKUP($U$3,ギルド一覧!$B$4:$R$29,14,FALSE)))</f>
        <v>38.880000000000003</v>
      </c>
      <c r="X45" s="193">
        <f>IF($U$4="通常",(VLOOKUP($T$7,'モンスター　一覧'!$B$4:$O$198,12,FALSE)*性格一覧!$E36)*0.01*(VLOOKUP($U$3,ギルド一覧!$B$4:$R$29,9,FALSE)),(VLOOKUP($T$7,'モンスター　一覧'!$B$4:$O$198,12,FALSE)*性格一覧!$E36)*0.01*(VLOOKUP($U$3,ギルド一覧!$B$4:$R$29,15,FALSE)))</f>
        <v>703.59</v>
      </c>
      <c r="Y45" s="193">
        <f>IF($U$4="通常",(VLOOKUP($T$7,'モンスター　一覧'!$B$4:$O$198,13,FALSE)*性格一覧!$F36)*0.01*(VLOOKUP($U$3,ギルド一覧!$B$4:$R$29,10,FALSE)),(VLOOKUP($T$7,'モンスター　一覧'!$B$4:$O$198,13,FALSE)*性格一覧!$F36)*0.01*(VLOOKUP($U$3,ギルド一覧!$B$4:$R$29,16,FALSE)))</f>
        <v>186.56</v>
      </c>
      <c r="Z45" s="194">
        <f>IF($U$4="通常",(VLOOKUP($T$7,'モンスター　一覧'!$B$4:$O$198,14,FALSE)*性格一覧!$G36)*0.01*(VLOOKUP($U$3,ギルド一覧!$B$4:$R$29,11,FALSE)),(VLOOKUP($T$7,'モンスター　一覧'!$B$4:$O$198,14,FALSE)*性格一覧!$G36)*0.01*(VLOOKUP($U$3,ギルド一覧!$B$4:$R$29,17,FALSE)))</f>
        <v>49.050000000000004</v>
      </c>
      <c r="AA45" s="205">
        <f t="shared" si="2"/>
        <v>1052.43</v>
      </c>
      <c r="AC45" s="152" t="s">
        <v>218</v>
      </c>
      <c r="AD45" s="150"/>
    </row>
    <row r="46" spans="2:30" s="55" customFormat="1" ht="12">
      <c r="B46" s="64" t="s">
        <v>54</v>
      </c>
      <c r="C46" s="193">
        <f>IF($C$4="通常",(VLOOKUP($B$7,'モンスター　一覧'!$B$4:$O$198,9,FALSE)*性格一覧!$B37)*0.01*(VLOOKUP($C$3,ギルド一覧!$B$4:$R$29,6,FALSE)),(VLOOKUP($B$7,'モンスター　一覧'!$B$4:$O$198,9,FALSE)*性格一覧!$B37)*0.01*(VLOOKUP($C$3,ギルド一覧!$B$4:$R$29,12,FALSE)))</f>
        <v>122.64</v>
      </c>
      <c r="D46" s="193">
        <f>IF($C$4="通常",(VLOOKUP($B$7,'モンスター　一覧'!$B$4:$O$198,10,FALSE)*性格一覧!$C37)*0.01*(VLOOKUP($C$3,ギルド一覧!$B$4:$R$29,7,FALSE)),(VLOOKUP($B$7,'モンスター　一覧'!$B$4:$O$198,10,FALSE)*性格一覧!$C37)*0.01*(VLOOKUP($C$3,ギルド一覧!$B$4:$R$29,13,FALSE)))</f>
        <v>70.08</v>
      </c>
      <c r="E46" s="193">
        <f>IF($C$4="通常",(VLOOKUP($B$7,'モンスター　一覧'!$B$4:$O$198,11,FALSE)*性格一覧!$D37)*0.01*(VLOOKUP($C$3,ギルド一覧!$B$4:$R$29,8,FALSE)),(VLOOKUP($B$7,'モンスター　一覧'!$B$4:$O$198,11,FALSE)*性格一覧!$D37)*0.01*(VLOOKUP($C$3,ギルド一覧!$B$4:$R$29,14,FALSE)))</f>
        <v>57.96</v>
      </c>
      <c r="F46" s="193">
        <f>IF($C$4="通常",(VLOOKUP($B$7,'モンスター　一覧'!$B$4:$O$198,12,FALSE)*性格一覧!$E37)*0.01*(VLOOKUP($C$3,ギルド一覧!$B$4:$R$29,9,FALSE)),(VLOOKUP($B$7,'モンスター　一覧'!$B$4:$O$198,12,FALSE)*性格一覧!$E37)*0.01*(VLOOKUP($C$3,ギルド一覧!$B$4:$R$29,15,FALSE)))</f>
        <v>61.5</v>
      </c>
      <c r="G46" s="193">
        <f>IF($C$4="通常",(VLOOKUP($B$7,'モンスター　一覧'!$B$4:$O$198,13,FALSE)*性格一覧!$F37)*0.01*(VLOOKUP($C$3,ギルド一覧!$B$4:$R$29,10,FALSE)),(VLOOKUP($B$7,'モンスター　一覧'!$B$4:$O$198,13,FALSE)*性格一覧!$F37)*0.01*(VLOOKUP($C$3,ギルド一覧!$B$4:$R$29,16,FALSE)))</f>
        <v>72</v>
      </c>
      <c r="H46" s="194">
        <f>IF($C$4="通常",(VLOOKUP($B$7,'モンスター　一覧'!$B$4:$O$198,14,FALSE)*性格一覧!$G37)*0.01*(VLOOKUP($C$3,ギルド一覧!$B$4:$R$29,11,FALSE)),(VLOOKUP($B$7,'モンスター　一覧'!$B$4:$O$198,14,FALSE)*性格一覧!$G37)*0.01*(VLOOKUP($C$3,ギルド一覧!$B$4:$R$29,17,FALSE)))</f>
        <v>167.86</v>
      </c>
      <c r="I46" s="205">
        <f t="shared" si="0"/>
        <v>552.04</v>
      </c>
      <c r="J46" s="56"/>
      <c r="K46" s="64" t="s">
        <v>54</v>
      </c>
      <c r="L46" s="193">
        <f>IF($L$4="通常",(VLOOKUP($K$7,'モンスター　一覧'!$B$4:$O$198,9,FALSE)*性格一覧!$B37)*0.01*(VLOOKUP($L$3,ギルド一覧!$B$4:$R$29,6,FALSE)),(VLOOKUP($K$7,'モンスター　一覧'!$B$4:$O$198,9,FALSE)*性格一覧!$B37)*0.01*(VLOOKUP($L$3,ギルド一覧!$B$4:$R$29,12,FALSE)))</f>
        <v>26.04</v>
      </c>
      <c r="M46" s="193">
        <f>IF($L$4="通常",(VLOOKUP($K$7,'モンスター　一覧'!$B$4:$O$198,10,FALSE)*性格一覧!$C37)*0.01*(VLOOKUP($L$3,ギルド一覧!$B$4:$R$29,7,FALSE)),(VLOOKUP($K$7,'モンスター　一覧'!$B$4:$O$198,10,FALSE)*性格一覧!$C37)*0.01*(VLOOKUP($L$3,ギルド一覧!$B$4:$R$29,13,FALSE)))</f>
        <v>37.44</v>
      </c>
      <c r="N46" s="193">
        <f>IF($L$4="通常",(VLOOKUP($K$7,'モンスター　一覧'!$B$4:$O$198,11,FALSE)*性格一覧!$D37)*0.01*(VLOOKUP($L$3,ギルド一覧!$B$4:$R$29,8,FALSE)),(VLOOKUP($K$7,'モンスター　一覧'!$B$4:$O$198,11,FALSE)*性格一覧!$D37)*0.01*(VLOOKUP($L$3,ギルド一覧!$B$4:$R$29,14,FALSE)))</f>
        <v>39.312000000000005</v>
      </c>
      <c r="O46" s="193">
        <f>IF($L$4="通常",(VLOOKUP($K$7,'モンスター　一覧'!$B$4:$O$198,12,FALSE)*性格一覧!$E37)*0.01*(VLOOKUP($L$3,ギルド一覧!$B$4:$R$29,9,FALSE)),(VLOOKUP($K$7,'モンスター　一覧'!$B$4:$O$198,12,FALSE)*性格一覧!$E37)*0.01*(VLOOKUP($L$3,ギルド一覧!$B$4:$R$29,15,FALSE)))</f>
        <v>336.82499999999999</v>
      </c>
      <c r="P46" s="193">
        <f>IF($L$4="通常",(VLOOKUP($K$7,'モンスター　一覧'!$B$4:$O$198,13,FALSE)*性格一覧!$F37)*0.01*(VLOOKUP($L$3,ギルド一覧!$B$4:$R$29,10,FALSE)),(VLOOKUP($K$7,'モンスター　一覧'!$B$4:$O$198,13,FALSE)*性格一覧!$F37)*0.01*(VLOOKUP($L$3,ギルド一覧!$B$4:$R$29,16,FALSE)))</f>
        <v>316.8</v>
      </c>
      <c r="Q46" s="194">
        <f>IF($L$4="通常",(VLOOKUP($K$7,'モンスター　一覧'!$B$4:$O$198,14,FALSE)*性格一覧!$G37)*0.01*(VLOOKUP($L$3,ギルド一覧!$B$4:$R$29,11,FALSE)),(VLOOKUP($K$7,'モンスター　一覧'!$B$4:$O$198,14,FALSE)*性格一覧!$G37)*0.01*(VLOOKUP($L$3,ギルド一覧!$B$4:$R$29,17,FALSE)))</f>
        <v>49.050000000000004</v>
      </c>
      <c r="R46" s="205">
        <f t="shared" si="1"/>
        <v>805.46699999999987</v>
      </c>
      <c r="T46" s="64" t="s">
        <v>54</v>
      </c>
      <c r="U46" s="193">
        <f>IF($U$4="通常",(VLOOKUP($T$7,'モンスター　一覧'!$B$4:$O$198,9,FALSE)*性格一覧!$B37)*0.01*(VLOOKUP($U$3,ギルド一覧!$B$4:$R$29,6,FALSE)),(VLOOKUP($T$7,'モンスター　一覧'!$B$4:$O$198,9,FALSE)*性格一覧!$B37)*0.01*(VLOOKUP($U$3,ギルド一覧!$B$4:$R$29,12,FALSE)))</f>
        <v>26.04</v>
      </c>
      <c r="V46" s="193">
        <f>IF($U$4="通常",(VLOOKUP($T$7,'モンスター　一覧'!$B$4:$O$198,10,FALSE)*性格一覧!$C37)*0.01*(VLOOKUP($U$3,ギルド一覧!$B$4:$R$29,7,FALSE)),(VLOOKUP($T$7,'モンスター　一覧'!$B$4:$O$198,10,FALSE)*性格一覧!$C37)*0.01*(VLOOKUP($U$3,ギルド一覧!$B$4:$R$29,13,FALSE)))</f>
        <v>37.44</v>
      </c>
      <c r="W46" s="193">
        <f>IF($U$4="通常",(VLOOKUP($T$7,'モンスター　一覧'!$B$4:$O$198,11,FALSE)*性格一覧!$D37)*0.01*(VLOOKUP($U$3,ギルド一覧!$B$4:$R$29,8,FALSE)),(VLOOKUP($T$7,'モンスター　一覧'!$B$4:$O$198,11,FALSE)*性格一覧!$D37)*0.01*(VLOOKUP($U$3,ギルド一覧!$B$4:$R$29,14,FALSE)))</f>
        <v>30.240000000000002</v>
      </c>
      <c r="X46" s="193">
        <f>IF($U$4="通常",(VLOOKUP($T$7,'モンスター　一覧'!$B$4:$O$198,12,FALSE)*性格一覧!$E37)*0.01*(VLOOKUP($U$3,ギルド一覧!$B$4:$R$29,9,FALSE)),(VLOOKUP($T$7,'モンスター　一覧'!$B$4:$O$198,12,FALSE)*性格一覧!$E37)*0.01*(VLOOKUP($U$3,ギルド一覧!$B$4:$R$29,15,FALSE)))</f>
        <v>374.25</v>
      </c>
      <c r="Y46" s="193">
        <f>IF($U$4="通常",(VLOOKUP($T$7,'モンスター　一覧'!$B$4:$O$198,13,FALSE)*性格一覧!$F37)*0.01*(VLOOKUP($U$3,ギルド一覧!$B$4:$R$29,10,FALSE)),(VLOOKUP($T$7,'モンスター　一覧'!$B$4:$O$198,13,FALSE)*性格一覧!$F37)*0.01*(VLOOKUP($U$3,ギルド一覧!$B$4:$R$29,16,FALSE)))</f>
        <v>316.8</v>
      </c>
      <c r="Z46" s="194">
        <f>IF($U$4="通常",(VLOOKUP($T$7,'モンスター　一覧'!$B$4:$O$198,14,FALSE)*性格一覧!$G37)*0.01*(VLOOKUP($U$3,ギルド一覧!$B$4:$R$29,11,FALSE)),(VLOOKUP($T$7,'モンスター　一覧'!$B$4:$O$198,14,FALSE)*性格一覧!$G37)*0.01*(VLOOKUP($U$3,ギルド一覧!$B$4:$R$29,17,FALSE)))</f>
        <v>49.050000000000004</v>
      </c>
      <c r="AA46" s="205">
        <f t="shared" si="2"/>
        <v>833.81999999999994</v>
      </c>
      <c r="AC46" s="152" t="s">
        <v>169</v>
      </c>
      <c r="AD46" s="150"/>
    </row>
    <row r="47" spans="2:30" s="55" customFormat="1" ht="12">
      <c r="B47" s="64" t="s">
        <v>56</v>
      </c>
      <c r="C47" s="193">
        <f>IF($C$4="通常",(VLOOKUP($B$7,'モンスター　一覧'!$B$4:$O$198,9,FALSE)*性格一覧!$B38)*0.01*(VLOOKUP($C$3,ギルド一覧!$B$4:$R$29,6,FALSE)),(VLOOKUP($B$7,'モンスター　一覧'!$B$4:$O$198,9,FALSE)*性格一覧!$B38)*0.01*(VLOOKUP($C$3,ギルド一覧!$B$4:$R$29,12,FALSE)))</f>
        <v>146</v>
      </c>
      <c r="D47" s="193">
        <f>IF($C$4="通常",(VLOOKUP($B$7,'モンスター　一覧'!$B$4:$O$198,10,FALSE)*性格一覧!$C38)*0.01*(VLOOKUP($C$3,ギルド一覧!$B$4:$R$29,7,FALSE)),(VLOOKUP($B$7,'モンスター　一覧'!$B$4:$O$198,10,FALSE)*性格一覧!$C38)*0.01*(VLOOKUP($C$3,ギルド一覧!$B$4:$R$29,13,FALSE)))</f>
        <v>55.480000000000004</v>
      </c>
      <c r="E47" s="193">
        <f>IF($C$4="通常",(VLOOKUP($B$7,'モンスター　一覧'!$B$4:$O$198,11,FALSE)*性格一覧!$D38)*0.01*(VLOOKUP($C$3,ギルド一覧!$B$4:$R$29,8,FALSE)),(VLOOKUP($B$7,'モンスター　一覧'!$B$4:$O$198,11,FALSE)*性格一覧!$D38)*0.01*(VLOOKUP($C$3,ギルド一覧!$B$4:$R$29,14,FALSE)))</f>
        <v>66.239999999999995</v>
      </c>
      <c r="F47" s="193">
        <f>IF($C$4="通常",(VLOOKUP($B$7,'モンスター　一覧'!$B$4:$O$198,12,FALSE)*性格一覧!$E38)*0.01*(VLOOKUP($C$3,ギルド一覧!$B$4:$R$29,9,FALSE)),(VLOOKUP($B$7,'モンスター　一覧'!$B$4:$O$198,12,FALSE)*性格一覧!$E38)*0.01*(VLOOKUP($C$3,ギルド一覧!$B$4:$R$29,15,FALSE)))</f>
        <v>100.04</v>
      </c>
      <c r="G47" s="193">
        <f>IF($C$4="通常",(VLOOKUP($B$7,'モンスター　一覧'!$B$4:$O$198,13,FALSE)*性格一覧!$F38)*0.01*(VLOOKUP($C$3,ギルド一覧!$B$4:$R$29,10,FALSE)),(VLOOKUP($B$7,'モンスター　一覧'!$B$4:$O$198,13,FALSE)*性格一覧!$F38)*0.01*(VLOOKUP($C$3,ギルド一覧!$B$4:$R$29,16,FALSE)))</f>
        <v>64.8</v>
      </c>
      <c r="H47" s="194">
        <f>IF($C$4="通常",(VLOOKUP($B$7,'モンスター　一覧'!$B$4:$O$198,14,FALSE)*性格一覧!$G38)*0.01*(VLOOKUP($C$3,ギルド一覧!$B$4:$R$29,11,FALSE)),(VLOOKUP($B$7,'モンスター　一覧'!$B$4:$O$198,14,FALSE)*性格一覧!$G38)*0.01*(VLOOKUP($C$3,ギルド一覧!$B$4:$R$29,17,FALSE)))</f>
        <v>166.32</v>
      </c>
      <c r="I47" s="205">
        <f t="shared" si="0"/>
        <v>598.88000000000011</v>
      </c>
      <c r="J47" s="56"/>
      <c r="K47" s="64" t="s">
        <v>56</v>
      </c>
      <c r="L47" s="193">
        <f>IF($L$4="通常",(VLOOKUP($K$7,'モンスター　一覧'!$B$4:$O$198,9,FALSE)*性格一覧!$B38)*0.01*(VLOOKUP($L$3,ギルド一覧!$B$4:$R$29,6,FALSE)),(VLOOKUP($K$7,'モンスター　一覧'!$B$4:$O$198,9,FALSE)*性格一覧!$B38)*0.01*(VLOOKUP($L$3,ギルド一覧!$B$4:$R$29,12,FALSE)))</f>
        <v>31</v>
      </c>
      <c r="M47" s="193">
        <f>IF($L$4="通常",(VLOOKUP($K$7,'モンスター　一覧'!$B$4:$O$198,10,FALSE)*性格一覧!$C38)*0.01*(VLOOKUP($L$3,ギルド一覧!$B$4:$R$29,7,FALSE)),(VLOOKUP($K$7,'モンスター　一覧'!$B$4:$O$198,10,FALSE)*性格一覧!$C38)*0.01*(VLOOKUP($L$3,ギルド一覧!$B$4:$R$29,13,FALSE)))</f>
        <v>29.64</v>
      </c>
      <c r="N47" s="193">
        <f>IF($L$4="通常",(VLOOKUP($K$7,'モンスター　一覧'!$B$4:$O$198,11,FALSE)*性格一覧!$D38)*0.01*(VLOOKUP($L$3,ギルド一覧!$B$4:$R$29,8,FALSE)),(VLOOKUP($K$7,'モンスター　一覧'!$B$4:$O$198,11,FALSE)*性格一覧!$D38)*0.01*(VLOOKUP($L$3,ギルド一覧!$B$4:$R$29,14,FALSE)))</f>
        <v>44.928000000000004</v>
      </c>
      <c r="O47" s="193">
        <f>IF($L$4="通常",(VLOOKUP($K$7,'モンスター　一覧'!$B$4:$O$198,12,FALSE)*性格一覧!$E38)*0.01*(VLOOKUP($L$3,ギルド一覧!$B$4:$R$29,9,FALSE)),(VLOOKUP($K$7,'モンスター　一覧'!$B$4:$O$198,12,FALSE)*性格一覧!$E38)*0.01*(VLOOKUP($L$3,ギルド一覧!$B$4:$R$29,15,FALSE)))</f>
        <v>547.90200000000004</v>
      </c>
      <c r="P47" s="193">
        <f>IF($L$4="通常",(VLOOKUP($K$7,'モンスター　一覧'!$B$4:$O$198,13,FALSE)*性格一覧!$F38)*0.01*(VLOOKUP($L$3,ギルド一覧!$B$4:$R$29,10,FALSE)),(VLOOKUP($K$7,'モンスター　一覧'!$B$4:$O$198,13,FALSE)*性格一覧!$F38)*0.01*(VLOOKUP($L$3,ギルド一覧!$B$4:$R$29,16,FALSE)))</f>
        <v>285.12</v>
      </c>
      <c r="Q47" s="194">
        <f>IF($L$4="通常",(VLOOKUP($K$7,'モンスター　一覧'!$B$4:$O$198,14,FALSE)*性格一覧!$G38)*0.01*(VLOOKUP($L$3,ギルド一覧!$B$4:$R$29,11,FALSE)),(VLOOKUP($K$7,'モンスター　一覧'!$B$4:$O$198,14,FALSE)*性格一覧!$G38)*0.01*(VLOOKUP($L$3,ギルド一覧!$B$4:$R$29,17,FALSE)))</f>
        <v>48.6</v>
      </c>
      <c r="R47" s="205">
        <f t="shared" si="1"/>
        <v>987.19</v>
      </c>
      <c r="T47" s="64" t="s">
        <v>56</v>
      </c>
      <c r="U47" s="193">
        <f>IF($U$4="通常",(VLOOKUP($T$7,'モンスター　一覧'!$B$4:$O$198,9,FALSE)*性格一覧!$B38)*0.01*(VLOOKUP($U$3,ギルド一覧!$B$4:$R$29,6,FALSE)),(VLOOKUP($T$7,'モンスター　一覧'!$B$4:$O$198,9,FALSE)*性格一覧!$B38)*0.01*(VLOOKUP($U$3,ギルド一覧!$B$4:$R$29,12,FALSE)))</f>
        <v>31</v>
      </c>
      <c r="V47" s="193">
        <f>IF($U$4="通常",(VLOOKUP($T$7,'モンスター　一覧'!$B$4:$O$198,10,FALSE)*性格一覧!$C38)*0.01*(VLOOKUP($U$3,ギルド一覧!$B$4:$R$29,7,FALSE)),(VLOOKUP($T$7,'モンスター　一覧'!$B$4:$O$198,10,FALSE)*性格一覧!$C38)*0.01*(VLOOKUP($U$3,ギルド一覧!$B$4:$R$29,13,FALSE)))</f>
        <v>29.64</v>
      </c>
      <c r="W47" s="193">
        <f>IF($U$4="通常",(VLOOKUP($T$7,'モンスター　一覧'!$B$4:$O$198,11,FALSE)*性格一覧!$D38)*0.01*(VLOOKUP($U$3,ギルド一覧!$B$4:$R$29,8,FALSE)),(VLOOKUP($T$7,'モンスター　一覧'!$B$4:$O$198,11,FALSE)*性格一覧!$D38)*0.01*(VLOOKUP($U$3,ギルド一覧!$B$4:$R$29,14,FALSE)))</f>
        <v>34.56</v>
      </c>
      <c r="X47" s="193">
        <f>IF($U$4="通常",(VLOOKUP($T$7,'モンスター　一覧'!$B$4:$O$198,12,FALSE)*性格一覧!$E38)*0.01*(VLOOKUP($U$3,ギルド一覧!$B$4:$R$29,9,FALSE)),(VLOOKUP($T$7,'モンスター　一覧'!$B$4:$O$198,12,FALSE)*性格一覧!$E38)*0.01*(VLOOKUP($U$3,ギルド一覧!$B$4:$R$29,15,FALSE)))</f>
        <v>608.78</v>
      </c>
      <c r="Y47" s="193">
        <f>IF($U$4="通常",(VLOOKUP($T$7,'モンスター　一覧'!$B$4:$O$198,13,FALSE)*性格一覧!$F38)*0.01*(VLOOKUP($U$3,ギルド一覧!$B$4:$R$29,10,FALSE)),(VLOOKUP($T$7,'モンスター　一覧'!$B$4:$O$198,13,FALSE)*性格一覧!$F38)*0.01*(VLOOKUP($U$3,ギルド一覧!$B$4:$R$29,16,FALSE)))</f>
        <v>285.12</v>
      </c>
      <c r="Z47" s="194">
        <f>IF($U$4="通常",(VLOOKUP($T$7,'モンスター　一覧'!$B$4:$O$198,14,FALSE)*性格一覧!$G38)*0.01*(VLOOKUP($U$3,ギルド一覧!$B$4:$R$29,11,FALSE)),(VLOOKUP($T$7,'モンスター　一覧'!$B$4:$O$198,14,FALSE)*性格一覧!$G38)*0.01*(VLOOKUP($U$3,ギルド一覧!$B$4:$R$29,17,FALSE)))</f>
        <v>48.6</v>
      </c>
      <c r="AA47" s="205">
        <f t="shared" si="2"/>
        <v>1037.7</v>
      </c>
      <c r="AC47" s="152" t="s">
        <v>181</v>
      </c>
      <c r="AD47" s="150"/>
    </row>
    <row r="48" spans="2:30" s="55" customFormat="1" ht="12">
      <c r="B48" s="64" t="s">
        <v>57</v>
      </c>
      <c r="C48" s="193">
        <f>IF($C$4="通常",(VLOOKUP($B$7,'モンスター　一覧'!$B$4:$O$198,9,FALSE)*性格一覧!$B39)*0.01*(VLOOKUP($C$3,ギルド一覧!$B$4:$R$29,6,FALSE)),(VLOOKUP($B$7,'モンスター　一覧'!$B$4:$O$198,9,FALSE)*性格一覧!$B39)*0.01*(VLOOKUP($C$3,ギルド一覧!$B$4:$R$29,12,FALSE)))</f>
        <v>164.98</v>
      </c>
      <c r="D48" s="193">
        <f>IF($C$4="通常",(VLOOKUP($B$7,'モンスター　一覧'!$B$4:$O$198,10,FALSE)*性格一覧!$C39)*0.01*(VLOOKUP($C$3,ギルド一覧!$B$4:$R$29,7,FALSE)),(VLOOKUP($B$7,'モンスター　一覧'!$B$4:$O$198,10,FALSE)*性格一覧!$C39)*0.01*(VLOOKUP($C$3,ギルド一覧!$B$4:$R$29,13,FALSE)))</f>
        <v>79.570000000000007</v>
      </c>
      <c r="E48" s="193">
        <f>IF($C$4="通常",(VLOOKUP($B$7,'モンスター　一覧'!$B$4:$O$198,11,FALSE)*性格一覧!$D39)*0.01*(VLOOKUP($C$3,ギルド一覧!$B$4:$R$29,8,FALSE)),(VLOOKUP($B$7,'モンスター　一覧'!$B$4:$O$198,11,FALSE)*性格一覧!$D39)*0.01*(VLOOKUP($C$3,ギルド一覧!$B$4:$R$29,14,FALSE)))</f>
        <v>71.760000000000005</v>
      </c>
      <c r="F48" s="193">
        <f>IF($C$4="通常",(VLOOKUP($B$7,'モンスター　一覧'!$B$4:$O$198,12,FALSE)*性格一覧!$E39)*0.01*(VLOOKUP($C$3,ギルド一覧!$B$4:$R$29,9,FALSE)),(VLOOKUP($B$7,'モンスター　一覧'!$B$4:$O$198,12,FALSE)*性格一覧!$E39)*0.01*(VLOOKUP($C$3,ギルド一覧!$B$4:$R$29,15,FALSE)))</f>
        <v>58.22</v>
      </c>
      <c r="G48" s="193">
        <f>IF($C$4="通常",(VLOOKUP($B$7,'モンスター　一覧'!$B$4:$O$198,13,FALSE)*性格一覧!$F39)*0.01*(VLOOKUP($C$3,ギルド一覧!$B$4:$R$29,10,FALSE)),(VLOOKUP($B$7,'モンスター　一覧'!$B$4:$O$198,13,FALSE)*性格一覧!$F39)*0.01*(VLOOKUP($C$3,ギルド一覧!$B$4:$R$29,16,FALSE)))</f>
        <v>87.2</v>
      </c>
      <c r="H48" s="194">
        <f>IF($C$4="通常",(VLOOKUP($B$7,'モンスター　一覧'!$B$4:$O$198,14,FALSE)*性格一覧!$G39)*0.01*(VLOOKUP($C$3,ギルド一覧!$B$4:$R$29,11,FALSE)),(VLOOKUP($B$7,'モンスター　一覧'!$B$4:$O$198,14,FALSE)*性格一覧!$G39)*0.01*(VLOOKUP($C$3,ギルド一覧!$B$4:$R$29,17,FALSE)))</f>
        <v>160.16</v>
      </c>
      <c r="I48" s="205">
        <f t="shared" si="0"/>
        <v>621.89</v>
      </c>
      <c r="J48" s="56"/>
      <c r="K48" s="64" t="s">
        <v>57</v>
      </c>
      <c r="L48" s="193">
        <f>IF($L$4="通常",(VLOOKUP($K$7,'モンスター　一覧'!$B$4:$O$198,9,FALSE)*性格一覧!$B39)*0.01*(VLOOKUP($L$3,ギルド一覧!$B$4:$R$29,6,FALSE)),(VLOOKUP($K$7,'モンスター　一覧'!$B$4:$O$198,9,FALSE)*性格一覧!$B39)*0.01*(VLOOKUP($L$3,ギルド一覧!$B$4:$R$29,12,FALSE)))</f>
        <v>35.03</v>
      </c>
      <c r="M48" s="193">
        <f>IF($L$4="通常",(VLOOKUP($K$7,'モンスター　一覧'!$B$4:$O$198,10,FALSE)*性格一覧!$C39)*0.01*(VLOOKUP($L$3,ギルド一覧!$B$4:$R$29,7,FALSE)),(VLOOKUP($K$7,'モンスター　一覧'!$B$4:$O$198,10,FALSE)*性格一覧!$C39)*0.01*(VLOOKUP($L$3,ギルド一覧!$B$4:$R$29,13,FALSE)))</f>
        <v>42.51</v>
      </c>
      <c r="N48" s="193">
        <f>IF($L$4="通常",(VLOOKUP($K$7,'モンスター　一覧'!$B$4:$O$198,11,FALSE)*性格一覧!$D39)*0.01*(VLOOKUP($L$3,ギルド一覧!$B$4:$R$29,8,FALSE)),(VLOOKUP($K$7,'モンスター　一覧'!$B$4:$O$198,11,FALSE)*性格一覧!$D39)*0.01*(VLOOKUP($L$3,ギルド一覧!$B$4:$R$29,14,FALSE)))</f>
        <v>48.671999999999997</v>
      </c>
      <c r="O48" s="193">
        <f>IF($L$4="通常",(VLOOKUP($K$7,'モンスター　一覧'!$B$4:$O$198,12,FALSE)*性格一覧!$E39)*0.01*(VLOOKUP($L$3,ギルド一覧!$B$4:$R$29,9,FALSE)),(VLOOKUP($K$7,'モンスター　一覧'!$B$4:$O$198,12,FALSE)*性格一覧!$E39)*0.01*(VLOOKUP($L$3,ギルド一覧!$B$4:$R$29,15,FALSE)))</f>
        <v>318.86100000000005</v>
      </c>
      <c r="P48" s="193">
        <f>IF($L$4="通常",(VLOOKUP($K$7,'モンスター　一覧'!$B$4:$O$198,13,FALSE)*性格一覧!$F39)*0.01*(VLOOKUP($L$3,ギルド一覧!$B$4:$R$29,10,FALSE)),(VLOOKUP($K$7,'モンスター　一覧'!$B$4:$O$198,13,FALSE)*性格一覧!$F39)*0.01*(VLOOKUP($L$3,ギルド一覧!$B$4:$R$29,16,FALSE)))</f>
        <v>383.68</v>
      </c>
      <c r="Q48" s="194">
        <f>IF($L$4="通常",(VLOOKUP($K$7,'モンスター　一覧'!$B$4:$O$198,14,FALSE)*性格一覧!$G39)*0.01*(VLOOKUP($L$3,ギルド一覧!$B$4:$R$29,11,FALSE)),(VLOOKUP($K$7,'モンスター　一覧'!$B$4:$O$198,14,FALSE)*性格一覧!$G39)*0.01*(VLOOKUP($L$3,ギルド一覧!$B$4:$R$29,17,FALSE)))</f>
        <v>46.800000000000004</v>
      </c>
      <c r="R48" s="205">
        <f t="shared" si="1"/>
        <v>875.553</v>
      </c>
      <c r="T48" s="64" t="s">
        <v>57</v>
      </c>
      <c r="U48" s="193">
        <f>IF($U$4="通常",(VLOOKUP($T$7,'モンスター　一覧'!$B$4:$O$198,9,FALSE)*性格一覧!$B39)*0.01*(VLOOKUP($U$3,ギルド一覧!$B$4:$R$29,6,FALSE)),(VLOOKUP($T$7,'モンスター　一覧'!$B$4:$O$198,9,FALSE)*性格一覧!$B39)*0.01*(VLOOKUP($U$3,ギルド一覧!$B$4:$R$29,12,FALSE)))</f>
        <v>35.03</v>
      </c>
      <c r="V48" s="193">
        <f>IF($U$4="通常",(VLOOKUP($T$7,'モンスター　一覧'!$B$4:$O$198,10,FALSE)*性格一覧!$C39)*0.01*(VLOOKUP($U$3,ギルド一覧!$B$4:$R$29,7,FALSE)),(VLOOKUP($T$7,'モンスター　一覧'!$B$4:$O$198,10,FALSE)*性格一覧!$C39)*0.01*(VLOOKUP($U$3,ギルド一覧!$B$4:$R$29,13,FALSE)))</f>
        <v>42.51</v>
      </c>
      <c r="W48" s="193">
        <f>IF($U$4="通常",(VLOOKUP($T$7,'モンスター　一覧'!$B$4:$O$198,11,FALSE)*性格一覧!$D39)*0.01*(VLOOKUP($U$3,ギルド一覧!$B$4:$R$29,8,FALSE)),(VLOOKUP($T$7,'モンスター　一覧'!$B$4:$O$198,11,FALSE)*性格一覧!$D39)*0.01*(VLOOKUP($U$3,ギルド一覧!$B$4:$R$29,14,FALSE)))</f>
        <v>37.44</v>
      </c>
      <c r="X48" s="193">
        <f>IF($U$4="通常",(VLOOKUP($T$7,'モンスター　一覧'!$B$4:$O$198,12,FALSE)*性格一覧!$E39)*0.01*(VLOOKUP($U$3,ギルド一覧!$B$4:$R$29,9,FALSE)),(VLOOKUP($T$7,'モンスター　一覧'!$B$4:$O$198,12,FALSE)*性格一覧!$E39)*0.01*(VLOOKUP($U$3,ギルド一覧!$B$4:$R$29,15,FALSE)))</f>
        <v>354.29</v>
      </c>
      <c r="Y48" s="193">
        <f>IF($U$4="通常",(VLOOKUP($T$7,'モンスター　一覧'!$B$4:$O$198,13,FALSE)*性格一覧!$F39)*0.01*(VLOOKUP($U$3,ギルド一覧!$B$4:$R$29,10,FALSE)),(VLOOKUP($T$7,'モンスター　一覧'!$B$4:$O$198,13,FALSE)*性格一覧!$F39)*0.01*(VLOOKUP($U$3,ギルド一覧!$B$4:$R$29,16,FALSE)))</f>
        <v>383.68</v>
      </c>
      <c r="Z48" s="194">
        <f>IF($U$4="通常",(VLOOKUP($T$7,'モンスター　一覧'!$B$4:$O$198,14,FALSE)*性格一覧!$G39)*0.01*(VLOOKUP($U$3,ギルド一覧!$B$4:$R$29,11,FALSE)),(VLOOKUP($T$7,'モンスター　一覧'!$B$4:$O$198,14,FALSE)*性格一覧!$G39)*0.01*(VLOOKUP($U$3,ギルド一覧!$B$4:$R$29,17,FALSE)))</f>
        <v>46.800000000000004</v>
      </c>
      <c r="AA48" s="205">
        <f t="shared" si="2"/>
        <v>899.75</v>
      </c>
      <c r="AC48" s="152" t="s">
        <v>153</v>
      </c>
      <c r="AD48" s="150"/>
    </row>
    <row r="49" spans="2:30" s="55" customFormat="1" ht="12">
      <c r="B49" s="64" t="s">
        <v>58</v>
      </c>
      <c r="C49" s="193">
        <f>IF($C$4="通常",(VLOOKUP($B$7,'モンスター　一覧'!$B$4:$O$198,9,FALSE)*性格一覧!$B40)*0.01*(VLOOKUP($C$3,ギルド一覧!$B$4:$R$29,6,FALSE)),(VLOOKUP($B$7,'モンスター　一覧'!$B$4:$O$198,9,FALSE)*性格一覧!$B40)*0.01*(VLOOKUP($C$3,ギルド一覧!$B$4:$R$29,12,FALSE)))</f>
        <v>119.72</v>
      </c>
      <c r="D49" s="193">
        <f>IF($C$4="通常",(VLOOKUP($B$7,'モンスター　一覧'!$B$4:$O$198,10,FALSE)*性格一覧!$C40)*0.01*(VLOOKUP($C$3,ギルド一覧!$B$4:$R$29,7,FALSE)),(VLOOKUP($B$7,'モンスター　一覧'!$B$4:$O$198,10,FALSE)*性格一覧!$C40)*0.01*(VLOOKUP($C$3,ギルド一覧!$B$4:$R$29,13,FALSE)))</f>
        <v>75.92</v>
      </c>
      <c r="E49" s="193">
        <f>IF($C$4="通常",(VLOOKUP($B$7,'モンスター　一覧'!$B$4:$O$198,11,FALSE)*性格一覧!$D40)*0.01*(VLOOKUP($C$3,ギルド一覧!$B$4:$R$29,8,FALSE)),(VLOOKUP($B$7,'モンスター　一覧'!$B$4:$O$198,11,FALSE)*性格一覧!$D40)*0.01*(VLOOKUP($C$3,ギルド一覧!$B$4:$R$29,14,FALSE)))</f>
        <v>71.760000000000005</v>
      </c>
      <c r="F49" s="193">
        <f>IF($C$4="通常",(VLOOKUP($B$7,'モンスター　一覧'!$B$4:$O$198,12,FALSE)*性格一覧!$E40)*0.01*(VLOOKUP($C$3,ギルド一覧!$B$4:$R$29,9,FALSE)),(VLOOKUP($B$7,'モンスター　一覧'!$B$4:$O$198,12,FALSE)*性格一覧!$E40)*0.01*(VLOOKUP($C$3,ギルド一覧!$B$4:$R$29,15,FALSE)))</f>
        <v>102.5</v>
      </c>
      <c r="G49" s="193">
        <f>IF($C$4="通常",(VLOOKUP($B$7,'モンスター　一覧'!$B$4:$O$198,13,FALSE)*性格一覧!$F40)*0.01*(VLOOKUP($C$3,ギルド一覧!$B$4:$R$29,10,FALSE)),(VLOOKUP($B$7,'モンスター　一覧'!$B$4:$O$198,13,FALSE)*性格一覧!$F40)*0.01*(VLOOKUP($C$3,ギルド一覧!$B$4:$R$29,16,FALSE)))</f>
        <v>77.600000000000009</v>
      </c>
      <c r="H49" s="194">
        <f>IF($C$4="通常",(VLOOKUP($B$7,'モンスター　一覧'!$B$4:$O$198,14,FALSE)*性格一覧!$G40)*0.01*(VLOOKUP($C$3,ギルド一覧!$B$4:$R$29,11,FALSE)),(VLOOKUP($B$7,'モンスター　一覧'!$B$4:$O$198,14,FALSE)*性格一覧!$G40)*0.01*(VLOOKUP($C$3,ギルド一覧!$B$4:$R$29,17,FALSE)))</f>
        <v>180.18</v>
      </c>
      <c r="I49" s="205">
        <f t="shared" si="0"/>
        <v>627.68000000000006</v>
      </c>
      <c r="J49" s="56"/>
      <c r="K49" s="64" t="s">
        <v>58</v>
      </c>
      <c r="L49" s="193">
        <f>IF($L$4="通常",(VLOOKUP($K$7,'モンスター　一覧'!$B$4:$O$198,9,FALSE)*性格一覧!$B40)*0.01*(VLOOKUP($L$3,ギルド一覧!$B$4:$R$29,6,FALSE)),(VLOOKUP($K$7,'モンスター　一覧'!$B$4:$O$198,9,FALSE)*性格一覧!$B40)*0.01*(VLOOKUP($L$3,ギルド一覧!$B$4:$R$29,12,FALSE)))</f>
        <v>25.42</v>
      </c>
      <c r="M49" s="193">
        <f>IF($L$4="通常",(VLOOKUP($K$7,'モンスター　一覧'!$B$4:$O$198,10,FALSE)*性格一覧!$C40)*0.01*(VLOOKUP($L$3,ギルド一覧!$B$4:$R$29,7,FALSE)),(VLOOKUP($K$7,'モンスター　一覧'!$B$4:$O$198,10,FALSE)*性格一覧!$C40)*0.01*(VLOOKUP($L$3,ギルド一覧!$B$4:$R$29,13,FALSE)))</f>
        <v>40.56</v>
      </c>
      <c r="N49" s="193">
        <f>IF($L$4="通常",(VLOOKUP($K$7,'モンスター　一覧'!$B$4:$O$198,11,FALSE)*性格一覧!$D40)*0.01*(VLOOKUP($L$3,ギルド一覧!$B$4:$R$29,8,FALSE)),(VLOOKUP($K$7,'モンスター　一覧'!$B$4:$O$198,11,FALSE)*性格一覧!$D40)*0.01*(VLOOKUP($L$3,ギルド一覧!$B$4:$R$29,14,FALSE)))</f>
        <v>48.671999999999997</v>
      </c>
      <c r="O49" s="193">
        <f>IF($L$4="通常",(VLOOKUP($K$7,'モンスター　一覧'!$B$4:$O$198,12,FALSE)*性格一覧!$E40)*0.01*(VLOOKUP($L$3,ギルド一覧!$B$4:$R$29,9,FALSE)),(VLOOKUP($K$7,'モンスター　一覧'!$B$4:$O$198,12,FALSE)*性格一覧!$E40)*0.01*(VLOOKUP($L$3,ギルド一覧!$B$4:$R$29,15,FALSE)))</f>
        <v>561.375</v>
      </c>
      <c r="P49" s="193">
        <f>IF($L$4="通常",(VLOOKUP($K$7,'モンスター　一覧'!$B$4:$O$198,13,FALSE)*性格一覧!$F40)*0.01*(VLOOKUP($L$3,ギルド一覧!$B$4:$R$29,10,FALSE)),(VLOOKUP($K$7,'モンスター　一覧'!$B$4:$O$198,13,FALSE)*性格一覧!$F40)*0.01*(VLOOKUP($L$3,ギルド一覧!$B$4:$R$29,16,FALSE)))</f>
        <v>341.44</v>
      </c>
      <c r="Q49" s="194">
        <f>IF($L$4="通常",(VLOOKUP($K$7,'モンスター　一覧'!$B$4:$O$198,14,FALSE)*性格一覧!$G40)*0.01*(VLOOKUP($L$3,ギルド一覧!$B$4:$R$29,11,FALSE)),(VLOOKUP($K$7,'モンスター　一覧'!$B$4:$O$198,14,FALSE)*性格一覧!$G40)*0.01*(VLOOKUP($L$3,ギルド一覧!$B$4:$R$29,17,FALSE)))</f>
        <v>52.65</v>
      </c>
      <c r="R49" s="205">
        <f t="shared" si="1"/>
        <v>1070.1170000000002</v>
      </c>
      <c r="T49" s="64" t="s">
        <v>58</v>
      </c>
      <c r="U49" s="193">
        <f>IF($U$4="通常",(VLOOKUP($T$7,'モンスター　一覧'!$B$4:$O$198,9,FALSE)*性格一覧!$B40)*0.01*(VLOOKUP($U$3,ギルド一覧!$B$4:$R$29,6,FALSE)),(VLOOKUP($T$7,'モンスター　一覧'!$B$4:$O$198,9,FALSE)*性格一覧!$B40)*0.01*(VLOOKUP($U$3,ギルド一覧!$B$4:$R$29,12,FALSE)))</f>
        <v>25.42</v>
      </c>
      <c r="V49" s="193">
        <f>IF($U$4="通常",(VLOOKUP($T$7,'モンスター　一覧'!$B$4:$O$198,10,FALSE)*性格一覧!$C40)*0.01*(VLOOKUP($U$3,ギルド一覧!$B$4:$R$29,7,FALSE)),(VLOOKUP($T$7,'モンスター　一覧'!$B$4:$O$198,10,FALSE)*性格一覧!$C40)*0.01*(VLOOKUP($U$3,ギルド一覧!$B$4:$R$29,13,FALSE)))</f>
        <v>40.56</v>
      </c>
      <c r="W49" s="193">
        <f>IF($U$4="通常",(VLOOKUP($T$7,'モンスター　一覧'!$B$4:$O$198,11,FALSE)*性格一覧!$D40)*0.01*(VLOOKUP($U$3,ギルド一覧!$B$4:$R$29,8,FALSE)),(VLOOKUP($T$7,'モンスター　一覧'!$B$4:$O$198,11,FALSE)*性格一覧!$D40)*0.01*(VLOOKUP($U$3,ギルド一覧!$B$4:$R$29,14,FALSE)))</f>
        <v>37.44</v>
      </c>
      <c r="X49" s="193">
        <f>IF($U$4="通常",(VLOOKUP($T$7,'モンスター　一覧'!$B$4:$O$198,12,FALSE)*性格一覧!$E40)*0.01*(VLOOKUP($U$3,ギルド一覧!$B$4:$R$29,9,FALSE)),(VLOOKUP($T$7,'モンスター　一覧'!$B$4:$O$198,12,FALSE)*性格一覧!$E40)*0.01*(VLOOKUP($U$3,ギルド一覧!$B$4:$R$29,15,FALSE)))</f>
        <v>623.75</v>
      </c>
      <c r="Y49" s="193">
        <f>IF($U$4="通常",(VLOOKUP($T$7,'モンスター　一覧'!$B$4:$O$198,13,FALSE)*性格一覧!$F40)*0.01*(VLOOKUP($U$3,ギルド一覧!$B$4:$R$29,10,FALSE)),(VLOOKUP($T$7,'モンスター　一覧'!$B$4:$O$198,13,FALSE)*性格一覧!$F40)*0.01*(VLOOKUP($U$3,ギルド一覧!$B$4:$R$29,16,FALSE)))</f>
        <v>341.44</v>
      </c>
      <c r="Z49" s="194">
        <f>IF($U$4="通常",(VLOOKUP($T$7,'モンスター　一覧'!$B$4:$O$198,14,FALSE)*性格一覧!$G40)*0.01*(VLOOKUP($U$3,ギルド一覧!$B$4:$R$29,11,FALSE)),(VLOOKUP($T$7,'モンスター　一覧'!$B$4:$O$198,14,FALSE)*性格一覧!$G40)*0.01*(VLOOKUP($U$3,ギルド一覧!$B$4:$R$29,17,FALSE)))</f>
        <v>52.65</v>
      </c>
      <c r="AA49" s="205">
        <f t="shared" si="2"/>
        <v>1121.26</v>
      </c>
      <c r="AC49" s="152" t="s">
        <v>184</v>
      </c>
      <c r="AD49" s="150"/>
    </row>
    <row r="50" spans="2:30" s="55" customFormat="1" ht="12">
      <c r="B50" s="64" t="s">
        <v>59</v>
      </c>
      <c r="C50" s="193">
        <f>IF($C$4="通常",(VLOOKUP($B$7,'モンスター　一覧'!$B$4:$O$198,9,FALSE)*性格一覧!$B41)*0.01*(VLOOKUP($C$3,ギルド一覧!$B$4:$R$29,6,FALSE)),(VLOOKUP($B$7,'モンスター　一覧'!$B$4:$O$198,9,FALSE)*性格一覧!$B41)*0.01*(VLOOKUP($C$3,ギルド一覧!$B$4:$R$29,12,FALSE)))</f>
        <v>146</v>
      </c>
      <c r="D50" s="193">
        <f>IF($C$4="通常",(VLOOKUP($B$7,'モンスター　一覧'!$B$4:$O$198,10,FALSE)*性格一覧!$C41)*0.01*(VLOOKUP($C$3,ギルド一覧!$B$4:$R$29,7,FALSE)),(VLOOKUP($B$7,'モンスター　一覧'!$B$4:$O$198,10,FALSE)*性格一覧!$C41)*0.01*(VLOOKUP($C$3,ギルド一覧!$B$4:$R$29,13,FALSE)))</f>
        <v>79.570000000000007</v>
      </c>
      <c r="E50" s="193">
        <f>IF($C$4="通常",(VLOOKUP($B$7,'モンスター　一覧'!$B$4:$O$198,11,FALSE)*性格一覧!$D41)*0.01*(VLOOKUP($C$3,ギルド一覧!$B$4:$R$29,8,FALSE)),(VLOOKUP($B$7,'モンスター　一覧'!$B$4:$O$198,11,FALSE)*性格一覧!$D41)*0.01*(VLOOKUP($C$3,ギルド一覧!$B$4:$R$29,14,FALSE)))</f>
        <v>71.760000000000005</v>
      </c>
      <c r="F50" s="193">
        <f>IF($C$4="通常",(VLOOKUP($B$7,'モンスター　一覧'!$B$4:$O$198,12,FALSE)*性格一覧!$E41)*0.01*(VLOOKUP($C$3,ギルド一覧!$B$4:$R$29,9,FALSE)),(VLOOKUP($B$7,'モンスター　一覧'!$B$4:$O$198,12,FALSE)*性格一覧!$E41)*0.01*(VLOOKUP($C$3,ギルド一覧!$B$4:$R$29,15,FALSE)))</f>
        <v>100.04</v>
      </c>
      <c r="G50" s="193">
        <f>IF($C$4="通常",(VLOOKUP($B$7,'モンスター　一覧'!$B$4:$O$198,13,FALSE)*性格一覧!$F41)*0.01*(VLOOKUP($C$3,ギルド一覧!$B$4:$R$29,10,FALSE)),(VLOOKUP($B$7,'モンスター　一覧'!$B$4:$O$198,13,FALSE)*性格一覧!$F41)*0.01*(VLOOKUP($C$3,ギルド一覧!$B$4:$R$29,16,FALSE)))</f>
        <v>60</v>
      </c>
      <c r="H50" s="194">
        <f>IF($C$4="通常",(VLOOKUP($B$7,'モンスター　一覧'!$B$4:$O$198,14,FALSE)*性格一覧!$G41)*0.01*(VLOOKUP($C$3,ギルド一覧!$B$4:$R$29,11,FALSE)),(VLOOKUP($B$7,'モンスター　一覧'!$B$4:$O$198,14,FALSE)*性格一覧!$G41)*0.01*(VLOOKUP($C$3,ギルド一覧!$B$4:$R$29,17,FALSE)))</f>
        <v>166.32</v>
      </c>
      <c r="I50" s="205">
        <f t="shared" si="0"/>
        <v>623.69000000000005</v>
      </c>
      <c r="J50" s="56"/>
      <c r="K50" s="64" t="s">
        <v>59</v>
      </c>
      <c r="L50" s="193">
        <f>IF($L$4="通常",(VLOOKUP($K$7,'モンスター　一覧'!$B$4:$O$198,9,FALSE)*性格一覧!$B41)*0.01*(VLOOKUP($L$3,ギルド一覧!$B$4:$R$29,6,FALSE)),(VLOOKUP($K$7,'モンスター　一覧'!$B$4:$O$198,9,FALSE)*性格一覧!$B41)*0.01*(VLOOKUP($L$3,ギルド一覧!$B$4:$R$29,12,FALSE)))</f>
        <v>31</v>
      </c>
      <c r="M50" s="193">
        <f>IF($L$4="通常",(VLOOKUP($K$7,'モンスター　一覧'!$B$4:$O$198,10,FALSE)*性格一覧!$C41)*0.01*(VLOOKUP($L$3,ギルド一覧!$B$4:$R$29,7,FALSE)),(VLOOKUP($K$7,'モンスター　一覧'!$B$4:$O$198,10,FALSE)*性格一覧!$C41)*0.01*(VLOOKUP($L$3,ギルド一覧!$B$4:$R$29,13,FALSE)))</f>
        <v>42.51</v>
      </c>
      <c r="N50" s="193">
        <f>IF($L$4="通常",(VLOOKUP($K$7,'モンスター　一覧'!$B$4:$O$198,11,FALSE)*性格一覧!$D41)*0.01*(VLOOKUP($L$3,ギルド一覧!$B$4:$R$29,8,FALSE)),(VLOOKUP($K$7,'モンスター　一覧'!$B$4:$O$198,11,FALSE)*性格一覧!$D41)*0.01*(VLOOKUP($L$3,ギルド一覧!$B$4:$R$29,14,FALSE)))</f>
        <v>48.671999999999997</v>
      </c>
      <c r="O50" s="193">
        <f>IF($L$4="通常",(VLOOKUP($K$7,'モンスター　一覧'!$B$4:$O$198,12,FALSE)*性格一覧!$E41)*0.01*(VLOOKUP($L$3,ギルド一覧!$B$4:$R$29,9,FALSE)),(VLOOKUP($K$7,'モンスター　一覧'!$B$4:$O$198,12,FALSE)*性格一覧!$E41)*0.01*(VLOOKUP($L$3,ギルド一覧!$B$4:$R$29,15,FALSE)))</f>
        <v>547.90200000000004</v>
      </c>
      <c r="P50" s="193">
        <f>IF($L$4="通常",(VLOOKUP($K$7,'モンスター　一覧'!$B$4:$O$198,13,FALSE)*性格一覧!$F41)*0.01*(VLOOKUP($L$3,ギルド一覧!$B$4:$R$29,10,FALSE)),(VLOOKUP($K$7,'モンスター　一覧'!$B$4:$O$198,13,FALSE)*性格一覧!$F41)*0.01*(VLOOKUP($L$3,ギルド一覧!$B$4:$R$29,16,FALSE)))</f>
        <v>264</v>
      </c>
      <c r="Q50" s="194">
        <f>IF($L$4="通常",(VLOOKUP($K$7,'モンスター　一覧'!$B$4:$O$198,14,FALSE)*性格一覧!$G41)*0.01*(VLOOKUP($L$3,ギルド一覧!$B$4:$R$29,11,FALSE)),(VLOOKUP($K$7,'モンスター　一覧'!$B$4:$O$198,14,FALSE)*性格一覧!$G41)*0.01*(VLOOKUP($L$3,ギルド一覧!$B$4:$R$29,17,FALSE)))</f>
        <v>48.6</v>
      </c>
      <c r="R50" s="205">
        <f t="shared" si="1"/>
        <v>982.68400000000008</v>
      </c>
      <c r="T50" s="64" t="s">
        <v>59</v>
      </c>
      <c r="U50" s="193">
        <f>IF($U$4="通常",(VLOOKUP($T$7,'モンスター　一覧'!$B$4:$O$198,9,FALSE)*性格一覧!$B41)*0.01*(VLOOKUP($U$3,ギルド一覧!$B$4:$R$29,6,FALSE)),(VLOOKUP($T$7,'モンスター　一覧'!$B$4:$O$198,9,FALSE)*性格一覧!$B41)*0.01*(VLOOKUP($U$3,ギルド一覧!$B$4:$R$29,12,FALSE)))</f>
        <v>31</v>
      </c>
      <c r="V50" s="193">
        <f>IF($U$4="通常",(VLOOKUP($T$7,'モンスター　一覧'!$B$4:$O$198,10,FALSE)*性格一覧!$C41)*0.01*(VLOOKUP($U$3,ギルド一覧!$B$4:$R$29,7,FALSE)),(VLOOKUP($T$7,'モンスター　一覧'!$B$4:$O$198,10,FALSE)*性格一覧!$C41)*0.01*(VLOOKUP($U$3,ギルド一覧!$B$4:$R$29,13,FALSE)))</f>
        <v>42.51</v>
      </c>
      <c r="W50" s="193">
        <f>IF($U$4="通常",(VLOOKUP($T$7,'モンスター　一覧'!$B$4:$O$198,11,FALSE)*性格一覧!$D41)*0.01*(VLOOKUP($U$3,ギルド一覧!$B$4:$R$29,8,FALSE)),(VLOOKUP($T$7,'モンスター　一覧'!$B$4:$O$198,11,FALSE)*性格一覧!$D41)*0.01*(VLOOKUP($U$3,ギルド一覧!$B$4:$R$29,14,FALSE)))</f>
        <v>37.44</v>
      </c>
      <c r="X50" s="193">
        <f>IF($U$4="通常",(VLOOKUP($T$7,'モンスター　一覧'!$B$4:$O$198,12,FALSE)*性格一覧!$E41)*0.01*(VLOOKUP($U$3,ギルド一覧!$B$4:$R$29,9,FALSE)),(VLOOKUP($T$7,'モンスター　一覧'!$B$4:$O$198,12,FALSE)*性格一覧!$E41)*0.01*(VLOOKUP($U$3,ギルド一覧!$B$4:$R$29,15,FALSE)))</f>
        <v>608.78</v>
      </c>
      <c r="Y50" s="193">
        <f>IF($U$4="通常",(VLOOKUP($T$7,'モンスター　一覧'!$B$4:$O$198,13,FALSE)*性格一覧!$F41)*0.01*(VLOOKUP($U$3,ギルド一覧!$B$4:$R$29,10,FALSE)),(VLOOKUP($T$7,'モンスター　一覧'!$B$4:$O$198,13,FALSE)*性格一覧!$F41)*0.01*(VLOOKUP($U$3,ギルド一覧!$B$4:$R$29,16,FALSE)))</f>
        <v>264</v>
      </c>
      <c r="Z50" s="194">
        <f>IF($U$4="通常",(VLOOKUP($T$7,'モンスター　一覧'!$B$4:$O$198,14,FALSE)*性格一覧!$G41)*0.01*(VLOOKUP($U$3,ギルド一覧!$B$4:$R$29,11,FALSE)),(VLOOKUP($T$7,'モンスター　一覧'!$B$4:$O$198,14,FALSE)*性格一覧!$G41)*0.01*(VLOOKUP($U$3,ギルド一覧!$B$4:$R$29,17,FALSE)))</f>
        <v>48.6</v>
      </c>
      <c r="AA50" s="205">
        <f t="shared" si="2"/>
        <v>1032.33</v>
      </c>
      <c r="AC50" s="152" t="s">
        <v>142</v>
      </c>
      <c r="AD50" s="150"/>
    </row>
    <row r="51" spans="2:30" s="55" customFormat="1" ht="12">
      <c r="B51" s="64" t="s">
        <v>61</v>
      </c>
      <c r="C51" s="193">
        <f>IF($C$4="通常",(VLOOKUP($B$7,'モンスター　一覧'!$B$4:$O$198,9,FALSE)*性格一覧!$B42)*0.01*(VLOOKUP($C$3,ギルド一覧!$B$4:$R$29,6,FALSE)),(VLOOKUP($B$7,'モンスター　一覧'!$B$4:$O$198,9,FALSE)*性格一覧!$B42)*0.01*(VLOOKUP($C$3,ギルド一覧!$B$4:$R$29,12,FALSE)))</f>
        <v>164.98</v>
      </c>
      <c r="D51" s="193">
        <f>IF($C$4="通常",(VLOOKUP($B$7,'モンスター　一覧'!$B$4:$O$198,10,FALSE)*性格一覧!$C42)*0.01*(VLOOKUP($C$3,ギルド一覧!$B$4:$R$29,7,FALSE)),(VLOOKUP($B$7,'モンスター　一覧'!$B$4:$O$198,10,FALSE)*性格一覧!$C42)*0.01*(VLOOKUP($C$3,ギルド一覧!$B$4:$R$29,13,FALSE)))</f>
        <v>43.07</v>
      </c>
      <c r="E51" s="193">
        <f>IF($C$4="通常",(VLOOKUP($B$7,'モンスター　一覧'!$B$4:$O$198,11,FALSE)*性格一覧!$D42)*0.01*(VLOOKUP($C$3,ギルド一覧!$B$4:$R$29,8,FALSE)),(VLOOKUP($B$7,'モンスター　一覧'!$B$4:$O$198,11,FALSE)*性格一覧!$D42)*0.01*(VLOOKUP($C$3,ギルド一覧!$B$4:$R$29,14,FALSE)))</f>
        <v>80.040000000000006</v>
      </c>
      <c r="F51" s="193">
        <f>IF($C$4="通常",(VLOOKUP($B$7,'モンスター　一覧'!$B$4:$O$198,12,FALSE)*性格一覧!$E42)*0.01*(VLOOKUP($C$3,ギルド一覧!$B$4:$R$29,9,FALSE)),(VLOOKUP($B$7,'モンスター　一覧'!$B$4:$O$198,12,FALSE)*性格一覧!$E42)*0.01*(VLOOKUP($C$3,ギルド一覧!$B$4:$R$29,15,FALSE)))</f>
        <v>52.480000000000004</v>
      </c>
      <c r="G51" s="193">
        <f>IF($C$4="通常",(VLOOKUP($B$7,'モンスター　一覧'!$B$4:$O$198,13,FALSE)*性格一覧!$F42)*0.01*(VLOOKUP($C$3,ギルド一覧!$B$4:$R$29,10,FALSE)),(VLOOKUP($B$7,'モンスター　一覧'!$B$4:$O$198,13,FALSE)*性格一覧!$F42)*0.01*(VLOOKUP($C$3,ギルド一覧!$B$4:$R$29,16,FALSE)))</f>
        <v>84.8</v>
      </c>
      <c r="H51" s="194">
        <f>IF($C$4="通常",(VLOOKUP($B$7,'モンスター　一覧'!$B$4:$O$198,14,FALSE)*性格一覧!$G42)*0.01*(VLOOKUP($C$3,ギルド一覧!$B$4:$R$29,11,FALSE)),(VLOOKUP($B$7,'モンスター　一覧'!$B$4:$O$198,14,FALSE)*性格一覧!$G42)*0.01*(VLOOKUP($C$3,ギルド一覧!$B$4:$R$29,17,FALSE)))</f>
        <v>103.18</v>
      </c>
      <c r="I51" s="205">
        <f t="shared" si="0"/>
        <v>528.54999999999995</v>
      </c>
      <c r="J51" s="56"/>
      <c r="K51" s="64" t="s">
        <v>61</v>
      </c>
      <c r="L51" s="193">
        <f>IF($L$4="通常",(VLOOKUP($K$7,'モンスター　一覧'!$B$4:$O$198,9,FALSE)*性格一覧!$B42)*0.01*(VLOOKUP($L$3,ギルド一覧!$B$4:$R$29,6,FALSE)),(VLOOKUP($K$7,'モンスター　一覧'!$B$4:$O$198,9,FALSE)*性格一覧!$B42)*0.01*(VLOOKUP($L$3,ギルド一覧!$B$4:$R$29,12,FALSE)))</f>
        <v>35.03</v>
      </c>
      <c r="M51" s="193">
        <f>IF($L$4="通常",(VLOOKUP($K$7,'モンスター　一覧'!$B$4:$O$198,10,FALSE)*性格一覧!$C42)*0.01*(VLOOKUP($L$3,ギルド一覧!$B$4:$R$29,7,FALSE)),(VLOOKUP($K$7,'モンスター　一覧'!$B$4:$O$198,10,FALSE)*性格一覧!$C42)*0.01*(VLOOKUP($L$3,ギルド一覧!$B$4:$R$29,13,FALSE)))</f>
        <v>23.01</v>
      </c>
      <c r="N51" s="193">
        <f>IF($L$4="通常",(VLOOKUP($K$7,'モンスター　一覧'!$B$4:$O$198,11,FALSE)*性格一覧!$D42)*0.01*(VLOOKUP($L$3,ギルド一覧!$B$4:$R$29,8,FALSE)),(VLOOKUP($K$7,'モンスター　一覧'!$B$4:$O$198,11,FALSE)*性格一覧!$D42)*0.01*(VLOOKUP($L$3,ギルド一覧!$B$4:$R$29,14,FALSE)))</f>
        <v>54.287999999999997</v>
      </c>
      <c r="O51" s="193">
        <f>IF($L$4="通常",(VLOOKUP($K$7,'モンスター　一覧'!$B$4:$O$198,12,FALSE)*性格一覧!$E42)*0.01*(VLOOKUP($L$3,ギルド一覧!$B$4:$R$29,9,FALSE)),(VLOOKUP($K$7,'モンスター　一覧'!$B$4:$O$198,12,FALSE)*性格一覧!$E42)*0.01*(VLOOKUP($L$3,ギルド一覧!$B$4:$R$29,15,FALSE)))</f>
        <v>287.42400000000004</v>
      </c>
      <c r="P51" s="193">
        <f>IF($L$4="通常",(VLOOKUP($K$7,'モンスター　一覧'!$B$4:$O$198,13,FALSE)*性格一覧!$F42)*0.01*(VLOOKUP($L$3,ギルド一覧!$B$4:$R$29,10,FALSE)),(VLOOKUP($K$7,'モンスター　一覧'!$B$4:$O$198,13,FALSE)*性格一覧!$F42)*0.01*(VLOOKUP($L$3,ギルド一覧!$B$4:$R$29,16,FALSE)))</f>
        <v>373.12</v>
      </c>
      <c r="Q51" s="194">
        <f>IF($L$4="通常",(VLOOKUP($K$7,'モンスター　一覧'!$B$4:$O$198,14,FALSE)*性格一覧!$G42)*0.01*(VLOOKUP($L$3,ギルド一覧!$B$4:$R$29,11,FALSE)),(VLOOKUP($K$7,'モンスター　一覧'!$B$4:$O$198,14,FALSE)*性格一覧!$G42)*0.01*(VLOOKUP($L$3,ギルド一覧!$B$4:$R$29,17,FALSE)))</f>
        <v>30.150000000000002</v>
      </c>
      <c r="R51" s="205">
        <f t="shared" si="1"/>
        <v>803.02200000000005</v>
      </c>
      <c r="T51" s="64" t="s">
        <v>61</v>
      </c>
      <c r="U51" s="193">
        <f>IF($U$4="通常",(VLOOKUP($T$7,'モンスター　一覧'!$B$4:$O$198,9,FALSE)*性格一覧!$B42)*0.01*(VLOOKUP($U$3,ギルド一覧!$B$4:$R$29,6,FALSE)),(VLOOKUP($T$7,'モンスター　一覧'!$B$4:$O$198,9,FALSE)*性格一覧!$B42)*0.01*(VLOOKUP($U$3,ギルド一覧!$B$4:$R$29,12,FALSE)))</f>
        <v>35.03</v>
      </c>
      <c r="V51" s="193">
        <f>IF($U$4="通常",(VLOOKUP($T$7,'モンスター　一覧'!$B$4:$O$198,10,FALSE)*性格一覧!$C42)*0.01*(VLOOKUP($U$3,ギルド一覧!$B$4:$R$29,7,FALSE)),(VLOOKUP($T$7,'モンスター　一覧'!$B$4:$O$198,10,FALSE)*性格一覧!$C42)*0.01*(VLOOKUP($U$3,ギルド一覧!$B$4:$R$29,13,FALSE)))</f>
        <v>23.01</v>
      </c>
      <c r="W51" s="193">
        <f>IF($U$4="通常",(VLOOKUP($T$7,'モンスター　一覧'!$B$4:$O$198,11,FALSE)*性格一覧!$D42)*0.01*(VLOOKUP($U$3,ギルド一覧!$B$4:$R$29,8,FALSE)),(VLOOKUP($T$7,'モンスター　一覧'!$B$4:$O$198,11,FALSE)*性格一覧!$D42)*0.01*(VLOOKUP($U$3,ギルド一覧!$B$4:$R$29,14,FALSE)))</f>
        <v>41.76</v>
      </c>
      <c r="X51" s="193">
        <f>IF($U$4="通常",(VLOOKUP($T$7,'モンスター　一覧'!$B$4:$O$198,12,FALSE)*性格一覧!$E42)*0.01*(VLOOKUP($U$3,ギルド一覧!$B$4:$R$29,9,FALSE)),(VLOOKUP($T$7,'モンスター　一覧'!$B$4:$O$198,12,FALSE)*性格一覧!$E42)*0.01*(VLOOKUP($U$3,ギルド一覧!$B$4:$R$29,15,FALSE)))</f>
        <v>319.36</v>
      </c>
      <c r="Y51" s="193">
        <f>IF($U$4="通常",(VLOOKUP($T$7,'モンスター　一覧'!$B$4:$O$198,13,FALSE)*性格一覧!$F42)*0.01*(VLOOKUP($U$3,ギルド一覧!$B$4:$R$29,10,FALSE)),(VLOOKUP($T$7,'モンスター　一覧'!$B$4:$O$198,13,FALSE)*性格一覧!$F42)*0.01*(VLOOKUP($U$3,ギルド一覧!$B$4:$R$29,16,FALSE)))</f>
        <v>373.12</v>
      </c>
      <c r="Z51" s="194">
        <f>IF($U$4="通常",(VLOOKUP($T$7,'モンスター　一覧'!$B$4:$O$198,14,FALSE)*性格一覧!$G42)*0.01*(VLOOKUP($U$3,ギルド一覧!$B$4:$R$29,11,FALSE)),(VLOOKUP($T$7,'モンスター　一覧'!$B$4:$O$198,14,FALSE)*性格一覧!$G42)*0.01*(VLOOKUP($U$3,ギルド一覧!$B$4:$R$29,17,FALSE)))</f>
        <v>30.150000000000002</v>
      </c>
      <c r="AA51" s="205">
        <f t="shared" si="2"/>
        <v>822.43</v>
      </c>
      <c r="AC51" s="152" t="s">
        <v>162</v>
      </c>
      <c r="AD51" s="150"/>
    </row>
    <row r="52" spans="2:30" s="55" customFormat="1" ht="12">
      <c r="B52" s="64" t="s">
        <v>63</v>
      </c>
      <c r="C52" s="193">
        <f>IF($C$4="通常",(VLOOKUP($B$7,'モンスター　一覧'!$B$4:$O$198,9,FALSE)*性格一覧!$B43)*0.01*(VLOOKUP($C$3,ギルド一覧!$B$4:$R$29,6,FALSE)),(VLOOKUP($B$7,'モンスター　一覧'!$B$4:$O$198,9,FALSE)*性格一覧!$B43)*0.01*(VLOOKUP($C$3,ギルド一覧!$B$4:$R$29,12,FALSE)))</f>
        <v>146</v>
      </c>
      <c r="D52" s="193">
        <f>IF($C$4="通常",(VLOOKUP($B$7,'モンスター　一覧'!$B$4:$O$198,10,FALSE)*性格一覧!$C43)*0.01*(VLOOKUP($C$3,ギルド一覧!$B$4:$R$29,7,FALSE)),(VLOOKUP($B$7,'モンスター　一覧'!$B$4:$O$198,10,FALSE)*性格一覧!$C43)*0.01*(VLOOKUP($C$3,ギルド一覧!$B$4:$R$29,13,FALSE)))</f>
        <v>52.56</v>
      </c>
      <c r="E52" s="193">
        <f>IF($C$4="通常",(VLOOKUP($B$7,'モンスター　一覧'!$B$4:$O$198,11,FALSE)*性格一覧!$D43)*0.01*(VLOOKUP($C$3,ギルド一覧!$B$4:$R$29,8,FALSE)),(VLOOKUP($B$7,'モンスター　一覧'!$B$4:$O$198,11,FALSE)*性格一覧!$D43)*0.01*(VLOOKUP($C$3,ギルド一覧!$B$4:$R$29,14,FALSE)))</f>
        <v>74.52</v>
      </c>
      <c r="F52" s="193">
        <f>IF($C$4="通常",(VLOOKUP($B$7,'モンスター　一覧'!$B$4:$O$198,12,FALSE)*性格一覧!$E43)*0.01*(VLOOKUP($C$3,ギルド一覧!$B$4:$R$29,9,FALSE)),(VLOOKUP($B$7,'モンスター　一覧'!$B$4:$O$198,12,FALSE)*性格一覧!$E43)*0.01*(VLOOKUP($C$3,ギルド一覧!$B$4:$R$29,15,FALSE)))</f>
        <v>52.480000000000004</v>
      </c>
      <c r="G52" s="193">
        <f>IF($C$4="通常",(VLOOKUP($B$7,'モンスター　一覧'!$B$4:$O$198,13,FALSE)*性格一覧!$F43)*0.01*(VLOOKUP($C$3,ギルド一覧!$B$4:$R$29,10,FALSE)),(VLOOKUP($B$7,'モンスター　一覧'!$B$4:$O$198,13,FALSE)*性格一覧!$F43)*0.01*(VLOOKUP($C$3,ギルド一覧!$B$4:$R$29,16,FALSE)))</f>
        <v>84.8</v>
      </c>
      <c r="H52" s="194">
        <f>IF($C$4="通常",(VLOOKUP($B$7,'モンスター　一覧'!$B$4:$O$198,14,FALSE)*性格一覧!$G43)*0.01*(VLOOKUP($C$3,ギルド一覧!$B$4:$R$29,11,FALSE)),(VLOOKUP($B$7,'モンスター　一覧'!$B$4:$O$198,14,FALSE)*性格一覧!$G43)*0.01*(VLOOKUP($C$3,ギルド一覧!$B$4:$R$29,17,FALSE)))</f>
        <v>160.16</v>
      </c>
      <c r="I52" s="205">
        <f t="shared" si="0"/>
        <v>570.52</v>
      </c>
      <c r="J52" s="56"/>
      <c r="K52" s="64" t="s">
        <v>63</v>
      </c>
      <c r="L52" s="193">
        <f>IF($L$4="通常",(VLOOKUP($K$7,'モンスター　一覧'!$B$4:$O$198,9,FALSE)*性格一覧!$B43)*0.01*(VLOOKUP($L$3,ギルド一覧!$B$4:$R$29,6,FALSE)),(VLOOKUP($K$7,'モンスター　一覧'!$B$4:$O$198,9,FALSE)*性格一覧!$B43)*0.01*(VLOOKUP($L$3,ギルド一覧!$B$4:$R$29,12,FALSE)))</f>
        <v>31</v>
      </c>
      <c r="M52" s="193">
        <f>IF($L$4="通常",(VLOOKUP($K$7,'モンスター　一覧'!$B$4:$O$198,10,FALSE)*性格一覧!$C43)*0.01*(VLOOKUP($L$3,ギルド一覧!$B$4:$R$29,7,FALSE)),(VLOOKUP($K$7,'モンスター　一覧'!$B$4:$O$198,10,FALSE)*性格一覧!$C43)*0.01*(VLOOKUP($L$3,ギルド一覧!$B$4:$R$29,13,FALSE)))</f>
        <v>28.080000000000002</v>
      </c>
      <c r="N52" s="193">
        <f>IF($L$4="通常",(VLOOKUP($K$7,'モンスター　一覧'!$B$4:$O$198,11,FALSE)*性格一覧!$D43)*0.01*(VLOOKUP($L$3,ギルド一覧!$B$4:$R$29,8,FALSE)),(VLOOKUP($K$7,'モンスター　一覧'!$B$4:$O$198,11,FALSE)*性格一覧!$D43)*0.01*(VLOOKUP($L$3,ギルド一覧!$B$4:$R$29,14,FALSE)))</f>
        <v>50.544000000000004</v>
      </c>
      <c r="O52" s="193">
        <f>IF($L$4="通常",(VLOOKUP($K$7,'モンスター　一覧'!$B$4:$O$198,12,FALSE)*性格一覧!$E43)*0.01*(VLOOKUP($L$3,ギルド一覧!$B$4:$R$29,9,FALSE)),(VLOOKUP($K$7,'モンスター　一覧'!$B$4:$O$198,12,FALSE)*性格一覧!$E43)*0.01*(VLOOKUP($L$3,ギルド一覧!$B$4:$R$29,15,FALSE)))</f>
        <v>287.42400000000004</v>
      </c>
      <c r="P52" s="193">
        <f>IF($L$4="通常",(VLOOKUP($K$7,'モンスター　一覧'!$B$4:$O$198,13,FALSE)*性格一覧!$F43)*0.01*(VLOOKUP($L$3,ギルド一覧!$B$4:$R$29,10,FALSE)),(VLOOKUP($K$7,'モンスター　一覧'!$B$4:$O$198,13,FALSE)*性格一覧!$F43)*0.01*(VLOOKUP($L$3,ギルド一覧!$B$4:$R$29,16,FALSE)))</f>
        <v>373.12</v>
      </c>
      <c r="Q52" s="194">
        <f>IF($L$4="通常",(VLOOKUP($K$7,'モンスター　一覧'!$B$4:$O$198,14,FALSE)*性格一覧!$G43)*0.01*(VLOOKUP($L$3,ギルド一覧!$B$4:$R$29,11,FALSE)),(VLOOKUP($K$7,'モンスター　一覧'!$B$4:$O$198,14,FALSE)*性格一覧!$G43)*0.01*(VLOOKUP($L$3,ギルド一覧!$B$4:$R$29,17,FALSE)))</f>
        <v>46.800000000000004</v>
      </c>
      <c r="R52" s="205">
        <f t="shared" si="1"/>
        <v>816.96799999999996</v>
      </c>
      <c r="T52" s="64" t="s">
        <v>63</v>
      </c>
      <c r="U52" s="193">
        <f>IF($U$4="通常",(VLOOKUP($T$7,'モンスター　一覧'!$B$4:$O$198,9,FALSE)*性格一覧!$B43)*0.01*(VLOOKUP($U$3,ギルド一覧!$B$4:$R$29,6,FALSE)),(VLOOKUP($T$7,'モンスター　一覧'!$B$4:$O$198,9,FALSE)*性格一覧!$B43)*0.01*(VLOOKUP($U$3,ギルド一覧!$B$4:$R$29,12,FALSE)))</f>
        <v>31</v>
      </c>
      <c r="V52" s="193">
        <f>IF($U$4="通常",(VLOOKUP($T$7,'モンスター　一覧'!$B$4:$O$198,10,FALSE)*性格一覧!$C43)*0.01*(VLOOKUP($U$3,ギルド一覧!$B$4:$R$29,7,FALSE)),(VLOOKUP($T$7,'モンスター　一覧'!$B$4:$O$198,10,FALSE)*性格一覧!$C43)*0.01*(VLOOKUP($U$3,ギルド一覧!$B$4:$R$29,13,FALSE)))</f>
        <v>28.080000000000002</v>
      </c>
      <c r="W52" s="193">
        <f>IF($U$4="通常",(VLOOKUP($T$7,'モンスター　一覧'!$B$4:$O$198,11,FALSE)*性格一覧!$D43)*0.01*(VLOOKUP($U$3,ギルド一覧!$B$4:$R$29,8,FALSE)),(VLOOKUP($T$7,'モンスター　一覧'!$B$4:$O$198,11,FALSE)*性格一覧!$D43)*0.01*(VLOOKUP($U$3,ギルド一覧!$B$4:$R$29,14,FALSE)))</f>
        <v>38.880000000000003</v>
      </c>
      <c r="X52" s="193">
        <f>IF($U$4="通常",(VLOOKUP($T$7,'モンスター　一覧'!$B$4:$O$198,12,FALSE)*性格一覧!$E43)*0.01*(VLOOKUP($U$3,ギルド一覧!$B$4:$R$29,9,FALSE)),(VLOOKUP($T$7,'モンスター　一覧'!$B$4:$O$198,12,FALSE)*性格一覧!$E43)*0.01*(VLOOKUP($U$3,ギルド一覧!$B$4:$R$29,15,FALSE)))</f>
        <v>319.36</v>
      </c>
      <c r="Y52" s="193">
        <f>IF($U$4="通常",(VLOOKUP($T$7,'モンスター　一覧'!$B$4:$O$198,13,FALSE)*性格一覧!$F43)*0.01*(VLOOKUP($U$3,ギルド一覧!$B$4:$R$29,10,FALSE)),(VLOOKUP($T$7,'モンスター　一覧'!$B$4:$O$198,13,FALSE)*性格一覧!$F43)*0.01*(VLOOKUP($U$3,ギルド一覧!$B$4:$R$29,16,FALSE)))</f>
        <v>373.12</v>
      </c>
      <c r="Z52" s="194">
        <f>IF($U$4="通常",(VLOOKUP($T$7,'モンスター　一覧'!$B$4:$O$198,14,FALSE)*性格一覧!$G43)*0.01*(VLOOKUP($U$3,ギルド一覧!$B$4:$R$29,11,FALSE)),(VLOOKUP($T$7,'モンスター　一覧'!$B$4:$O$198,14,FALSE)*性格一覧!$G43)*0.01*(VLOOKUP($U$3,ギルド一覧!$B$4:$R$29,17,FALSE)))</f>
        <v>46.800000000000004</v>
      </c>
      <c r="AA52" s="205">
        <f t="shared" si="2"/>
        <v>837.24</v>
      </c>
      <c r="AC52" s="152" t="s">
        <v>247</v>
      </c>
      <c r="AD52" s="150"/>
    </row>
    <row r="53" spans="2:30" s="55" customFormat="1" ht="12">
      <c r="B53" s="64" t="s">
        <v>41</v>
      </c>
      <c r="C53" s="193">
        <f>IF($C$4="通常",(VLOOKUP($B$7,'モンスター　一覧'!$B$4:$O$198,9,FALSE)*性格一覧!$B44)*0.01*(VLOOKUP($C$3,ギルド一覧!$B$4:$R$29,6,FALSE)),(VLOOKUP($B$7,'モンスター　一覧'!$B$4:$O$198,9,FALSE)*性格一覧!$B44)*0.01*(VLOOKUP($C$3,ギルド一覧!$B$4:$R$29,12,FALSE)))</f>
        <v>112.42</v>
      </c>
      <c r="D53" s="193">
        <f>IF($C$4="通常",(VLOOKUP($B$7,'モンスター　一覧'!$B$4:$O$198,10,FALSE)*性格一覧!$C44)*0.01*(VLOOKUP($C$3,ギルド一覧!$B$4:$R$29,7,FALSE)),(VLOOKUP($B$7,'モンスター　一覧'!$B$4:$O$198,10,FALSE)*性格一覧!$C44)*0.01*(VLOOKUP($C$3,ギルド一覧!$B$4:$R$29,13,FALSE)))</f>
        <v>87.600000000000009</v>
      </c>
      <c r="E53" s="193">
        <f>IF($C$4="通常",(VLOOKUP($B$7,'モンスター　一覧'!$B$4:$O$198,11,FALSE)*性格一覧!$D44)*0.01*(VLOOKUP($C$3,ギルド一覧!$B$4:$R$29,8,FALSE)),(VLOOKUP($B$7,'モンスター　一覧'!$B$4:$O$198,11,FALSE)*性格一覧!$D44)*0.01*(VLOOKUP($C$3,ギルド一覧!$B$4:$R$29,14,FALSE)))</f>
        <v>84.18</v>
      </c>
      <c r="F53" s="193">
        <f>IF($C$4="通常",(VLOOKUP($B$7,'モンスター　一覧'!$B$4:$O$198,12,FALSE)*性格一覧!$E44)*0.01*(VLOOKUP($C$3,ギルド一覧!$B$4:$R$29,9,FALSE)),(VLOOKUP($B$7,'モンスター　一覧'!$B$4:$O$198,12,FALSE)*性格一覧!$E44)*0.01*(VLOOKUP($C$3,ギルド一覧!$B$4:$R$29,15,FALSE)))</f>
        <v>88.56</v>
      </c>
      <c r="G53" s="193">
        <f>IF($C$4="通常",(VLOOKUP($B$7,'モンスター　一覧'!$B$4:$O$198,13,FALSE)*性格一覧!$F44)*0.01*(VLOOKUP($C$3,ギルド一覧!$B$4:$R$29,10,FALSE)),(VLOOKUP($B$7,'モンスター　一覧'!$B$4:$O$198,13,FALSE)*性格一覧!$F44)*0.01*(VLOOKUP($C$3,ギルド一覧!$B$4:$R$29,16,FALSE)))</f>
        <v>106.4</v>
      </c>
      <c r="H53" s="194">
        <f>IF($C$4="通常",(VLOOKUP($B$7,'モンスター　一覧'!$B$4:$O$198,14,FALSE)*性格一覧!$G44)*0.01*(VLOOKUP($C$3,ギルド一覧!$B$4:$R$29,11,FALSE)),(VLOOKUP($B$7,'モンスター　一覧'!$B$4:$O$198,14,FALSE)*性格一覧!$G44)*0.01*(VLOOKUP($C$3,ギルド一覧!$B$4:$R$29,17,FALSE)))</f>
        <v>132.44</v>
      </c>
      <c r="I53" s="205">
        <f t="shared" si="0"/>
        <v>611.60000000000014</v>
      </c>
      <c r="J53" s="56"/>
      <c r="K53" s="64" t="s">
        <v>41</v>
      </c>
      <c r="L53" s="193">
        <f>IF($L$4="通常",(VLOOKUP($K$7,'モンスター　一覧'!$B$4:$O$198,9,FALSE)*性格一覧!$B44)*0.01*(VLOOKUP($L$3,ギルド一覧!$B$4:$R$29,6,FALSE)),(VLOOKUP($K$7,'モンスター　一覧'!$B$4:$O$198,9,FALSE)*性格一覧!$B44)*0.01*(VLOOKUP($L$3,ギルド一覧!$B$4:$R$29,12,FALSE)))</f>
        <v>23.87</v>
      </c>
      <c r="M53" s="193">
        <f>IF($L$4="通常",(VLOOKUP($K$7,'モンスター　一覧'!$B$4:$O$198,10,FALSE)*性格一覧!$C44)*0.01*(VLOOKUP($L$3,ギルド一覧!$B$4:$R$29,7,FALSE)),(VLOOKUP($K$7,'モンスター　一覧'!$B$4:$O$198,10,FALSE)*性格一覧!$C44)*0.01*(VLOOKUP($L$3,ギルド一覧!$B$4:$R$29,13,FALSE)))</f>
        <v>46.800000000000004</v>
      </c>
      <c r="N53" s="193">
        <f>IF($L$4="通常",(VLOOKUP($K$7,'モンスター　一覧'!$B$4:$O$198,11,FALSE)*性格一覧!$D44)*0.01*(VLOOKUP($L$3,ギルド一覧!$B$4:$R$29,8,FALSE)),(VLOOKUP($K$7,'モンスター　一覧'!$B$4:$O$198,11,FALSE)*性格一覧!$D44)*0.01*(VLOOKUP($L$3,ギルド一覧!$B$4:$R$29,14,FALSE)))</f>
        <v>57.096000000000004</v>
      </c>
      <c r="O53" s="193">
        <f>IF($L$4="通常",(VLOOKUP($K$7,'モンスター　一覧'!$B$4:$O$198,12,FALSE)*性格一覧!$E44)*0.01*(VLOOKUP($L$3,ギルド一覧!$B$4:$R$29,9,FALSE)),(VLOOKUP($K$7,'モンスター　一覧'!$B$4:$O$198,12,FALSE)*性格一覧!$E44)*0.01*(VLOOKUP($L$3,ギルド一覧!$B$4:$R$29,15,FALSE)))</f>
        <v>485.02799999999996</v>
      </c>
      <c r="P53" s="193">
        <f>IF($L$4="通常",(VLOOKUP($K$7,'モンスター　一覧'!$B$4:$O$198,13,FALSE)*性格一覧!$F44)*0.01*(VLOOKUP($L$3,ギルド一覧!$B$4:$R$29,10,FALSE)),(VLOOKUP($K$7,'モンスター　一覧'!$B$4:$O$198,13,FALSE)*性格一覧!$F44)*0.01*(VLOOKUP($L$3,ギルド一覧!$B$4:$R$29,16,FALSE)))</f>
        <v>468.16</v>
      </c>
      <c r="Q53" s="194">
        <f>IF($L$4="通常",(VLOOKUP($K$7,'モンスター　一覧'!$B$4:$O$198,14,FALSE)*性格一覧!$G44)*0.01*(VLOOKUP($L$3,ギルド一覧!$B$4:$R$29,11,FALSE)),(VLOOKUP($K$7,'モンスター　一覧'!$B$4:$O$198,14,FALSE)*性格一覧!$G44)*0.01*(VLOOKUP($L$3,ギルド一覧!$B$4:$R$29,17,FALSE)))</f>
        <v>38.700000000000003</v>
      </c>
      <c r="R53" s="205">
        <f t="shared" si="1"/>
        <v>1119.654</v>
      </c>
      <c r="T53" s="64" t="s">
        <v>41</v>
      </c>
      <c r="U53" s="193">
        <f>IF($U$4="通常",(VLOOKUP($T$7,'モンスター　一覧'!$B$4:$O$198,9,FALSE)*性格一覧!$B44)*0.01*(VLOOKUP($U$3,ギルド一覧!$B$4:$R$29,6,FALSE)),(VLOOKUP($T$7,'モンスター　一覧'!$B$4:$O$198,9,FALSE)*性格一覧!$B44)*0.01*(VLOOKUP($U$3,ギルド一覧!$B$4:$R$29,12,FALSE)))</f>
        <v>23.87</v>
      </c>
      <c r="V53" s="193">
        <f>IF($U$4="通常",(VLOOKUP($T$7,'モンスター　一覧'!$B$4:$O$198,10,FALSE)*性格一覧!$C44)*0.01*(VLOOKUP($U$3,ギルド一覧!$B$4:$R$29,7,FALSE)),(VLOOKUP($T$7,'モンスター　一覧'!$B$4:$O$198,10,FALSE)*性格一覧!$C44)*0.01*(VLOOKUP($U$3,ギルド一覧!$B$4:$R$29,13,FALSE)))</f>
        <v>46.800000000000004</v>
      </c>
      <c r="W53" s="193">
        <f>IF($U$4="通常",(VLOOKUP($T$7,'モンスター　一覧'!$B$4:$O$198,11,FALSE)*性格一覧!$D44)*0.01*(VLOOKUP($U$3,ギルド一覧!$B$4:$R$29,8,FALSE)),(VLOOKUP($T$7,'モンスター　一覧'!$B$4:$O$198,11,FALSE)*性格一覧!$D44)*0.01*(VLOOKUP($U$3,ギルド一覧!$B$4:$R$29,14,FALSE)))</f>
        <v>43.92</v>
      </c>
      <c r="X53" s="193">
        <f>IF($U$4="通常",(VLOOKUP($T$7,'モンスター　一覧'!$B$4:$O$198,12,FALSE)*性格一覧!$E44)*0.01*(VLOOKUP($U$3,ギルド一覧!$B$4:$R$29,9,FALSE)),(VLOOKUP($T$7,'モンスター　一覧'!$B$4:$O$198,12,FALSE)*性格一覧!$E44)*0.01*(VLOOKUP($U$3,ギルド一覧!$B$4:$R$29,15,FALSE)))</f>
        <v>538.91999999999996</v>
      </c>
      <c r="Y53" s="193">
        <f>IF($U$4="通常",(VLOOKUP($T$7,'モンスター　一覧'!$B$4:$O$198,13,FALSE)*性格一覧!$F44)*0.01*(VLOOKUP($U$3,ギルド一覧!$B$4:$R$29,10,FALSE)),(VLOOKUP($T$7,'モンスター　一覧'!$B$4:$O$198,13,FALSE)*性格一覧!$F44)*0.01*(VLOOKUP($U$3,ギルド一覧!$B$4:$R$29,16,FALSE)))</f>
        <v>468.16</v>
      </c>
      <c r="Z53" s="194">
        <f>IF($U$4="通常",(VLOOKUP($T$7,'モンスター　一覧'!$B$4:$O$198,14,FALSE)*性格一覧!$G44)*0.01*(VLOOKUP($U$3,ギルド一覧!$B$4:$R$29,11,FALSE)),(VLOOKUP($T$7,'モンスター　一覧'!$B$4:$O$198,14,FALSE)*性格一覧!$G44)*0.01*(VLOOKUP($U$3,ギルド一覧!$B$4:$R$29,17,FALSE)))</f>
        <v>38.700000000000003</v>
      </c>
      <c r="AA53" s="205">
        <f t="shared" si="2"/>
        <v>1160.3700000000001</v>
      </c>
      <c r="AC53" s="152" t="s">
        <v>123</v>
      </c>
      <c r="AD53" s="150"/>
    </row>
    <row r="54" spans="2:30" s="55" customFormat="1" ht="12">
      <c r="B54" s="64" t="s">
        <v>43</v>
      </c>
      <c r="C54" s="193">
        <f>IF($C$4="通常",(VLOOKUP($B$7,'モンスター　一覧'!$B$4:$O$198,9,FALSE)*性格一覧!$B45)*0.01*(VLOOKUP($C$3,ギルド一覧!$B$4:$R$29,6,FALSE)),(VLOOKUP($B$7,'モンスター　一覧'!$B$4:$O$198,9,FALSE)*性格一覧!$B45)*0.01*(VLOOKUP($C$3,ギルド一覧!$B$4:$R$29,12,FALSE)))</f>
        <v>137.24</v>
      </c>
      <c r="D54" s="193">
        <f>IF($C$4="通常",(VLOOKUP($B$7,'モンスター　一覧'!$B$4:$O$198,10,FALSE)*性格一覧!$C45)*0.01*(VLOOKUP($C$3,ギルド一覧!$B$4:$R$29,7,FALSE)),(VLOOKUP($B$7,'モンスター　一覧'!$B$4:$O$198,10,FALSE)*性格一覧!$C45)*0.01*(VLOOKUP($C$3,ギルド一覧!$B$4:$R$29,13,FALSE)))</f>
        <v>55.480000000000004</v>
      </c>
      <c r="E54" s="193">
        <f>IF($C$4="通常",(VLOOKUP($B$7,'モンスター　一覧'!$B$4:$O$198,11,FALSE)*性格一覧!$D45)*0.01*(VLOOKUP($C$3,ギルド一覧!$B$4:$R$29,8,FALSE)),(VLOOKUP($B$7,'モンスター　一覧'!$B$4:$O$198,11,FALSE)*性格一覧!$D45)*0.01*(VLOOKUP($C$3,ギルド一覧!$B$4:$R$29,14,FALSE)))</f>
        <v>86.94</v>
      </c>
      <c r="F54" s="193">
        <f>IF($C$4="通常",(VLOOKUP($B$7,'モンスター　一覧'!$B$4:$O$198,12,FALSE)*性格一覧!$E45)*0.01*(VLOOKUP($C$3,ギルド一覧!$B$4:$R$29,9,FALSE)),(VLOOKUP($B$7,'モンスター　一覧'!$B$4:$O$198,12,FALSE)*性格一覧!$E45)*0.01*(VLOOKUP($C$3,ギルド一覧!$B$4:$R$29,15,FALSE)))</f>
        <v>86.100000000000009</v>
      </c>
      <c r="G54" s="193">
        <f>IF($C$4="通常",(VLOOKUP($B$7,'モンスター　一覧'!$B$4:$O$198,13,FALSE)*性格一覧!$F45)*0.01*(VLOOKUP($C$3,ギルド一覧!$B$4:$R$29,10,FALSE)),(VLOOKUP($B$7,'モンスター　一覧'!$B$4:$O$198,13,FALSE)*性格一覧!$F45)*0.01*(VLOOKUP($C$3,ギルド一覧!$B$4:$R$29,16,FALSE)))</f>
        <v>83.2</v>
      </c>
      <c r="H54" s="194">
        <f>IF($C$4="通常",(VLOOKUP($B$7,'モンスター　一覧'!$B$4:$O$198,14,FALSE)*性格一覧!$G45)*0.01*(VLOOKUP($C$3,ギルド一覧!$B$4:$R$29,11,FALSE)),(VLOOKUP($B$7,'モンスター　一覧'!$B$4:$O$198,14,FALSE)*性格一覧!$G45)*0.01*(VLOOKUP($C$3,ギルド一覧!$B$4:$R$29,17,FALSE)))</f>
        <v>129.36000000000001</v>
      </c>
      <c r="I54" s="205">
        <f t="shared" si="0"/>
        <v>578.32000000000005</v>
      </c>
      <c r="J54" s="56"/>
      <c r="K54" s="64" t="s">
        <v>43</v>
      </c>
      <c r="L54" s="193">
        <f>IF($L$4="通常",(VLOOKUP($K$7,'モンスター　一覧'!$B$4:$O$198,9,FALSE)*性格一覧!$B45)*0.01*(VLOOKUP($L$3,ギルド一覧!$B$4:$R$29,6,FALSE)),(VLOOKUP($K$7,'モンスター　一覧'!$B$4:$O$198,9,FALSE)*性格一覧!$B45)*0.01*(VLOOKUP($L$3,ギルド一覧!$B$4:$R$29,12,FALSE)))</f>
        <v>29.14</v>
      </c>
      <c r="M54" s="193">
        <f>IF($L$4="通常",(VLOOKUP($K$7,'モンスター　一覧'!$B$4:$O$198,10,FALSE)*性格一覧!$C45)*0.01*(VLOOKUP($L$3,ギルド一覧!$B$4:$R$29,7,FALSE)),(VLOOKUP($K$7,'モンスター　一覧'!$B$4:$O$198,10,FALSE)*性格一覧!$C45)*0.01*(VLOOKUP($L$3,ギルド一覧!$B$4:$R$29,13,FALSE)))</f>
        <v>29.64</v>
      </c>
      <c r="N54" s="193">
        <f>IF($L$4="通常",(VLOOKUP($K$7,'モンスター　一覧'!$B$4:$O$198,11,FALSE)*性格一覧!$D45)*0.01*(VLOOKUP($L$3,ギルド一覧!$B$4:$R$29,8,FALSE)),(VLOOKUP($K$7,'モンスター　一覧'!$B$4:$O$198,11,FALSE)*性格一覧!$D45)*0.01*(VLOOKUP($L$3,ギルド一覧!$B$4:$R$29,14,FALSE)))</f>
        <v>58.968000000000004</v>
      </c>
      <c r="O54" s="193">
        <f>IF($L$4="通常",(VLOOKUP($K$7,'モンスター　一覧'!$B$4:$O$198,12,FALSE)*性格一覧!$E45)*0.01*(VLOOKUP($L$3,ギルド一覧!$B$4:$R$29,9,FALSE)),(VLOOKUP($K$7,'モンスター　一覧'!$B$4:$O$198,12,FALSE)*性格一覧!$E45)*0.01*(VLOOKUP($L$3,ギルド一覧!$B$4:$R$29,15,FALSE)))</f>
        <v>471.55500000000006</v>
      </c>
      <c r="P54" s="193">
        <f>IF($L$4="通常",(VLOOKUP($K$7,'モンスター　一覧'!$B$4:$O$198,13,FALSE)*性格一覧!$F45)*0.01*(VLOOKUP($L$3,ギルド一覧!$B$4:$R$29,10,FALSE)),(VLOOKUP($K$7,'モンスター　一覧'!$B$4:$O$198,13,FALSE)*性格一覧!$F45)*0.01*(VLOOKUP($L$3,ギルド一覧!$B$4:$R$29,16,FALSE)))</f>
        <v>366.08</v>
      </c>
      <c r="Q54" s="194">
        <f>IF($L$4="通常",(VLOOKUP($K$7,'モンスター　一覧'!$B$4:$O$198,14,FALSE)*性格一覧!$G45)*0.01*(VLOOKUP($L$3,ギルド一覧!$B$4:$R$29,11,FALSE)),(VLOOKUP($K$7,'モンスター　一覧'!$B$4:$O$198,14,FALSE)*性格一覧!$G45)*0.01*(VLOOKUP($L$3,ギルド一覧!$B$4:$R$29,17,FALSE)))</f>
        <v>37.800000000000004</v>
      </c>
      <c r="R54" s="205">
        <f t="shared" si="1"/>
        <v>993.18299999999999</v>
      </c>
      <c r="T54" s="64" t="s">
        <v>43</v>
      </c>
      <c r="U54" s="193">
        <f>IF($U$4="通常",(VLOOKUP($T$7,'モンスター　一覧'!$B$4:$O$198,9,FALSE)*性格一覧!$B45)*0.01*(VLOOKUP($U$3,ギルド一覧!$B$4:$R$29,6,FALSE)),(VLOOKUP($T$7,'モンスター　一覧'!$B$4:$O$198,9,FALSE)*性格一覧!$B45)*0.01*(VLOOKUP($U$3,ギルド一覧!$B$4:$R$29,12,FALSE)))</f>
        <v>29.14</v>
      </c>
      <c r="V54" s="193">
        <f>IF($U$4="通常",(VLOOKUP($T$7,'モンスター　一覧'!$B$4:$O$198,10,FALSE)*性格一覧!$C45)*0.01*(VLOOKUP($U$3,ギルド一覧!$B$4:$R$29,7,FALSE)),(VLOOKUP($T$7,'モンスター　一覧'!$B$4:$O$198,10,FALSE)*性格一覧!$C45)*0.01*(VLOOKUP($U$3,ギルド一覧!$B$4:$R$29,13,FALSE)))</f>
        <v>29.64</v>
      </c>
      <c r="W54" s="193">
        <f>IF($U$4="通常",(VLOOKUP($T$7,'モンスター　一覧'!$B$4:$O$198,11,FALSE)*性格一覧!$D45)*0.01*(VLOOKUP($U$3,ギルド一覧!$B$4:$R$29,8,FALSE)),(VLOOKUP($T$7,'モンスター　一覧'!$B$4:$O$198,11,FALSE)*性格一覧!$D45)*0.01*(VLOOKUP($U$3,ギルド一覧!$B$4:$R$29,14,FALSE)))</f>
        <v>45.36</v>
      </c>
      <c r="X54" s="193">
        <f>IF($U$4="通常",(VLOOKUP($T$7,'モンスター　一覧'!$B$4:$O$198,12,FALSE)*性格一覧!$E45)*0.01*(VLOOKUP($U$3,ギルド一覧!$B$4:$R$29,9,FALSE)),(VLOOKUP($T$7,'モンスター　一覧'!$B$4:$O$198,12,FALSE)*性格一覧!$E45)*0.01*(VLOOKUP($U$3,ギルド一覧!$B$4:$R$29,15,FALSE)))</f>
        <v>523.95000000000005</v>
      </c>
      <c r="Y54" s="193">
        <f>IF($U$4="通常",(VLOOKUP($T$7,'モンスター　一覧'!$B$4:$O$198,13,FALSE)*性格一覧!$F45)*0.01*(VLOOKUP($U$3,ギルド一覧!$B$4:$R$29,10,FALSE)),(VLOOKUP($T$7,'モンスター　一覧'!$B$4:$O$198,13,FALSE)*性格一覧!$F45)*0.01*(VLOOKUP($U$3,ギルド一覧!$B$4:$R$29,16,FALSE)))</f>
        <v>366.08</v>
      </c>
      <c r="Z54" s="194">
        <f>IF($U$4="通常",(VLOOKUP($T$7,'モンスター　一覧'!$B$4:$O$198,14,FALSE)*性格一覧!$G45)*0.01*(VLOOKUP($U$3,ギルド一覧!$B$4:$R$29,11,FALSE)),(VLOOKUP($T$7,'モンスター　一覧'!$B$4:$O$198,14,FALSE)*性格一覧!$G45)*0.01*(VLOOKUP($U$3,ギルド一覧!$B$4:$R$29,17,FALSE)))</f>
        <v>37.800000000000004</v>
      </c>
      <c r="AA54" s="205">
        <f t="shared" si="2"/>
        <v>1031.97</v>
      </c>
      <c r="AC54" s="152" t="s">
        <v>192</v>
      </c>
      <c r="AD54" s="150"/>
    </row>
    <row r="55" spans="2:30" s="55" customFormat="1" ht="12">
      <c r="B55" s="64" t="s">
        <v>60</v>
      </c>
      <c r="C55" s="193">
        <f>IF($C$4="通常",(VLOOKUP($B$7,'モンスター　一覧'!$B$4:$O$198,9,FALSE)*性格一覧!$B46)*0.01*(VLOOKUP($C$3,ギルド一覧!$B$4:$R$29,6,FALSE)),(VLOOKUP($B$7,'モンスター　一覧'!$B$4:$O$198,9,FALSE)*性格一覧!$B46)*0.01*(VLOOKUP($C$3,ギルド一覧!$B$4:$R$29,12,FALSE)))</f>
        <v>103.66</v>
      </c>
      <c r="D55" s="193">
        <f>IF($C$4="通常",(VLOOKUP($B$7,'モンスター　一覧'!$B$4:$O$198,10,FALSE)*性格一覧!$C46)*0.01*(VLOOKUP($C$3,ギルド一覧!$B$4:$R$29,7,FALSE)),(VLOOKUP($B$7,'モンスター　一覧'!$B$4:$O$198,10,FALSE)*性格一覧!$C46)*0.01*(VLOOKUP($C$3,ギルド一覧!$B$4:$R$29,13,FALSE)))</f>
        <v>76.650000000000006</v>
      </c>
      <c r="E55" s="193">
        <f>IF($C$4="通常",(VLOOKUP($B$7,'モンスター　一覧'!$B$4:$O$198,11,FALSE)*性格一覧!$D46)*0.01*(VLOOKUP($C$3,ギルド一覧!$B$4:$R$29,8,FALSE)),(VLOOKUP($B$7,'モンスター　一覧'!$B$4:$O$198,11,FALSE)*性格一覧!$D46)*0.01*(VLOOKUP($C$3,ギルド一覧!$B$4:$R$29,14,FALSE)))</f>
        <v>77.97</v>
      </c>
      <c r="F55" s="193">
        <f>IF($C$4="通常",(VLOOKUP($B$7,'モンスター　一覧'!$B$4:$O$198,12,FALSE)*性格一覧!$E46)*0.01*(VLOOKUP($C$3,ギルド一覧!$B$4:$R$29,9,FALSE)),(VLOOKUP($B$7,'モンスター　一覧'!$B$4:$O$198,12,FALSE)*性格一覧!$E46)*0.01*(VLOOKUP($C$3,ギルド一覧!$B$4:$R$29,15,FALSE)))</f>
        <v>88.56</v>
      </c>
      <c r="G55" s="193">
        <f>IF($C$4="通常",(VLOOKUP($B$7,'モンスター　一覧'!$B$4:$O$198,13,FALSE)*性格一覧!$F46)*0.01*(VLOOKUP($C$3,ギルド一覧!$B$4:$R$29,10,FALSE)),(VLOOKUP($B$7,'モンスター　一覧'!$B$4:$O$198,13,FALSE)*性格一覧!$F46)*0.01*(VLOOKUP($C$3,ギルド一覧!$B$4:$R$29,16,FALSE)))</f>
        <v>100</v>
      </c>
      <c r="H55" s="194">
        <f>IF($C$4="通常",(VLOOKUP($B$7,'モンスター　一覧'!$B$4:$O$198,14,FALSE)*性格一覧!$G46)*0.01*(VLOOKUP($C$3,ギルド一覧!$B$4:$R$29,11,FALSE)),(VLOOKUP($B$7,'モンスター　一覧'!$B$4:$O$198,14,FALSE)*性格一覧!$G46)*0.01*(VLOOKUP($C$3,ギルド一覧!$B$4:$R$29,17,FALSE)))</f>
        <v>154</v>
      </c>
      <c r="I55" s="205">
        <f t="shared" si="0"/>
        <v>600.83999999999992</v>
      </c>
      <c r="J55" s="56"/>
      <c r="K55" s="64" t="s">
        <v>60</v>
      </c>
      <c r="L55" s="193">
        <f>IF($L$4="通常",(VLOOKUP($K$7,'モンスター　一覧'!$B$4:$O$198,9,FALSE)*性格一覧!$B46)*0.01*(VLOOKUP($L$3,ギルド一覧!$B$4:$R$29,6,FALSE)),(VLOOKUP($K$7,'モンスター　一覧'!$B$4:$O$198,9,FALSE)*性格一覧!$B46)*0.01*(VLOOKUP($L$3,ギルド一覧!$B$4:$R$29,12,FALSE)))</f>
        <v>22.01</v>
      </c>
      <c r="M55" s="193">
        <f>IF($L$4="通常",(VLOOKUP($K$7,'モンスター　一覧'!$B$4:$O$198,10,FALSE)*性格一覧!$C46)*0.01*(VLOOKUP($L$3,ギルド一覧!$B$4:$R$29,7,FALSE)),(VLOOKUP($K$7,'モンスター　一覧'!$B$4:$O$198,10,FALSE)*性格一覧!$C46)*0.01*(VLOOKUP($L$3,ギルド一覧!$B$4:$R$29,13,FALSE)))</f>
        <v>40.950000000000003</v>
      </c>
      <c r="N55" s="193">
        <f>IF($L$4="通常",(VLOOKUP($K$7,'モンスター　一覧'!$B$4:$O$198,11,FALSE)*性格一覧!$D46)*0.01*(VLOOKUP($L$3,ギルド一覧!$B$4:$R$29,8,FALSE)),(VLOOKUP($K$7,'モンスター　一覧'!$B$4:$O$198,11,FALSE)*性格一覧!$D46)*0.01*(VLOOKUP($L$3,ギルド一覧!$B$4:$R$29,14,FALSE)))</f>
        <v>52.884</v>
      </c>
      <c r="O55" s="193">
        <f>IF($L$4="通常",(VLOOKUP($K$7,'モンスター　一覧'!$B$4:$O$198,12,FALSE)*性格一覧!$E46)*0.01*(VLOOKUP($L$3,ギルド一覧!$B$4:$R$29,9,FALSE)),(VLOOKUP($K$7,'モンスター　一覧'!$B$4:$O$198,12,FALSE)*性格一覧!$E46)*0.01*(VLOOKUP($L$3,ギルド一覧!$B$4:$R$29,15,FALSE)))</f>
        <v>485.02799999999996</v>
      </c>
      <c r="P55" s="193">
        <f>IF($L$4="通常",(VLOOKUP($K$7,'モンスター　一覧'!$B$4:$O$198,13,FALSE)*性格一覧!$F46)*0.01*(VLOOKUP($L$3,ギルド一覧!$B$4:$R$29,10,FALSE)),(VLOOKUP($K$7,'モンスター　一覧'!$B$4:$O$198,13,FALSE)*性格一覧!$F46)*0.01*(VLOOKUP($L$3,ギルド一覧!$B$4:$R$29,16,FALSE)))</f>
        <v>440</v>
      </c>
      <c r="Q55" s="194">
        <f>IF($L$4="通常",(VLOOKUP($K$7,'モンスター　一覧'!$B$4:$O$198,14,FALSE)*性格一覧!$G46)*0.01*(VLOOKUP($L$3,ギルド一覧!$B$4:$R$29,11,FALSE)),(VLOOKUP($K$7,'モンスター　一覧'!$B$4:$O$198,14,FALSE)*性格一覧!$G46)*0.01*(VLOOKUP($L$3,ギルド一覧!$B$4:$R$29,17,FALSE)))</f>
        <v>45</v>
      </c>
      <c r="R55" s="205">
        <f t="shared" si="1"/>
        <v>1085.8719999999998</v>
      </c>
      <c r="T55" s="64" t="s">
        <v>60</v>
      </c>
      <c r="U55" s="193">
        <f>IF($U$4="通常",(VLOOKUP($T$7,'モンスター　一覧'!$B$4:$O$198,9,FALSE)*性格一覧!$B46)*0.01*(VLOOKUP($U$3,ギルド一覧!$B$4:$R$29,6,FALSE)),(VLOOKUP($T$7,'モンスター　一覧'!$B$4:$O$198,9,FALSE)*性格一覧!$B46)*0.01*(VLOOKUP($U$3,ギルド一覧!$B$4:$R$29,12,FALSE)))</f>
        <v>22.01</v>
      </c>
      <c r="V55" s="193">
        <f>IF($U$4="通常",(VLOOKUP($T$7,'モンスター　一覧'!$B$4:$O$198,10,FALSE)*性格一覧!$C46)*0.01*(VLOOKUP($U$3,ギルド一覧!$B$4:$R$29,7,FALSE)),(VLOOKUP($T$7,'モンスター　一覧'!$B$4:$O$198,10,FALSE)*性格一覧!$C46)*0.01*(VLOOKUP($U$3,ギルド一覧!$B$4:$R$29,13,FALSE)))</f>
        <v>40.950000000000003</v>
      </c>
      <c r="W55" s="193">
        <f>IF($U$4="通常",(VLOOKUP($T$7,'モンスター　一覧'!$B$4:$O$198,11,FALSE)*性格一覧!$D46)*0.01*(VLOOKUP($U$3,ギルド一覧!$B$4:$R$29,8,FALSE)),(VLOOKUP($T$7,'モンスター　一覧'!$B$4:$O$198,11,FALSE)*性格一覧!$D46)*0.01*(VLOOKUP($U$3,ギルド一覧!$B$4:$R$29,14,FALSE)))</f>
        <v>40.68</v>
      </c>
      <c r="X55" s="193">
        <f>IF($U$4="通常",(VLOOKUP($T$7,'モンスター　一覧'!$B$4:$O$198,12,FALSE)*性格一覧!$E46)*0.01*(VLOOKUP($U$3,ギルド一覧!$B$4:$R$29,9,FALSE)),(VLOOKUP($T$7,'モンスター　一覧'!$B$4:$O$198,12,FALSE)*性格一覧!$E46)*0.01*(VLOOKUP($U$3,ギルド一覧!$B$4:$R$29,15,FALSE)))</f>
        <v>538.91999999999996</v>
      </c>
      <c r="Y55" s="193">
        <f>IF($U$4="通常",(VLOOKUP($T$7,'モンスター　一覧'!$B$4:$O$198,13,FALSE)*性格一覧!$F46)*0.01*(VLOOKUP($U$3,ギルド一覧!$B$4:$R$29,10,FALSE)),(VLOOKUP($T$7,'モンスター　一覧'!$B$4:$O$198,13,FALSE)*性格一覧!$F46)*0.01*(VLOOKUP($U$3,ギルド一覧!$B$4:$R$29,16,FALSE)))</f>
        <v>440</v>
      </c>
      <c r="Z55" s="194">
        <f>IF($U$4="通常",(VLOOKUP($T$7,'モンスター　一覧'!$B$4:$O$198,14,FALSE)*性格一覧!$G46)*0.01*(VLOOKUP($U$3,ギルド一覧!$B$4:$R$29,11,FALSE)),(VLOOKUP($T$7,'モンスター　一覧'!$B$4:$O$198,14,FALSE)*性格一覧!$G46)*0.01*(VLOOKUP($U$3,ギルド一覧!$B$4:$R$29,17,FALSE)))</f>
        <v>45</v>
      </c>
      <c r="AA55" s="205">
        <f t="shared" si="2"/>
        <v>1127.56</v>
      </c>
      <c r="AC55" s="152" t="s">
        <v>78</v>
      </c>
      <c r="AD55" s="150"/>
    </row>
    <row r="56" spans="2:30" s="55" customFormat="1" ht="12.75" thickBot="1">
      <c r="B56" s="65" t="s">
        <v>62</v>
      </c>
      <c r="C56" s="195">
        <f>IF($C$4="通常",(VLOOKUP($B$7,'モンスター　一覧'!$B$4:$O$198,9,FALSE)*性格一覧!$B47)*0.01*(VLOOKUP($C$3,ギルド一覧!$B$4:$R$29,6,FALSE)),(VLOOKUP($B$7,'モンスター　一覧'!$B$4:$O$198,9,FALSE)*性格一覧!$B47)*0.01*(VLOOKUP($C$3,ギルド一覧!$B$4:$R$29,12,FALSE)))</f>
        <v>134.32</v>
      </c>
      <c r="D56" s="195">
        <f>IF($C$4="通常",(VLOOKUP($B$7,'モンスター　一覧'!$B$4:$O$198,10,FALSE)*性格一覧!$C47)*0.01*(VLOOKUP($C$3,ギルド一覧!$B$4:$R$29,7,FALSE)),(VLOOKUP($B$7,'モンスター　一覧'!$B$4:$O$198,10,FALSE)*性格一覧!$C47)*0.01*(VLOOKUP($C$3,ギルド一覧!$B$4:$R$29,13,FALSE)))</f>
        <v>84.68</v>
      </c>
      <c r="E56" s="195">
        <f>IF($C$4="通常",(VLOOKUP($B$7,'モンスター　一覧'!$B$4:$O$198,11,FALSE)*性格一覧!$D47)*0.01*(VLOOKUP($C$3,ギルド一覧!$B$4:$R$29,8,FALSE)),(VLOOKUP($B$7,'モンスター　一覧'!$B$4:$O$198,11,FALSE)*性格一覧!$D47)*0.01*(VLOOKUP($C$3,ギルド一覧!$B$4:$R$29,14,FALSE)))</f>
        <v>66.239999999999995</v>
      </c>
      <c r="F56" s="195">
        <f>IF($C$4="通常",(VLOOKUP($B$7,'モンスター　一覧'!$B$4:$O$198,12,FALSE)*性格一覧!$E47)*0.01*(VLOOKUP($C$3,ギルド一覧!$B$4:$R$29,9,FALSE)),(VLOOKUP($B$7,'モンスター　一覧'!$B$4:$O$198,12,FALSE)*性格一覧!$E47)*0.01*(VLOOKUP($C$3,ギルド一覧!$B$4:$R$29,15,FALSE)))</f>
        <v>82</v>
      </c>
      <c r="G56" s="195">
        <f>IF($C$4="通常",(VLOOKUP($B$7,'モンスター　一覧'!$B$4:$O$198,13,FALSE)*性格一覧!$F47)*0.01*(VLOOKUP($C$3,ギルド一覧!$B$4:$R$29,10,FALSE)),(VLOOKUP($B$7,'モンスター　一覧'!$B$4:$O$198,13,FALSE)*性格一覧!$F47)*0.01*(VLOOKUP($C$3,ギルド一覧!$B$4:$R$29,16,FALSE)))</f>
        <v>67.2</v>
      </c>
      <c r="H56" s="196">
        <f>IF($C$4="通常",(VLOOKUP($B$7,'モンスター　一覧'!$B$4:$O$198,14,FALSE)*性格一覧!$G47)*0.01*(VLOOKUP($C$3,ギルド一覧!$B$4:$R$29,11,FALSE)),(VLOOKUP($B$7,'モンスター　一覧'!$B$4:$O$198,14,FALSE)*性格一覧!$G47)*0.01*(VLOOKUP($C$3,ギルド一覧!$B$4:$R$29,17,FALSE)))</f>
        <v>197.12</v>
      </c>
      <c r="I56" s="206">
        <f t="shared" si="0"/>
        <v>631.55999999999995</v>
      </c>
      <c r="J56" s="56"/>
      <c r="K56" s="65" t="s">
        <v>62</v>
      </c>
      <c r="L56" s="195">
        <f>IF($L$4="通常",(VLOOKUP($K$7,'モンスター　一覧'!$B$4:$O$198,9,FALSE)*性格一覧!$B47)*0.01*(VLOOKUP($L$3,ギルド一覧!$B$4:$R$29,6,FALSE)),(VLOOKUP($K$7,'モンスター　一覧'!$B$4:$O$198,9,FALSE)*性格一覧!$B47)*0.01*(VLOOKUP($L$3,ギルド一覧!$B$4:$R$29,12,FALSE)))</f>
        <v>28.52</v>
      </c>
      <c r="M56" s="195">
        <f>IF($L$4="通常",(VLOOKUP($K$7,'モンスター　一覧'!$B$4:$O$198,10,FALSE)*性格一覧!$C47)*0.01*(VLOOKUP($L$3,ギルド一覧!$B$4:$R$29,7,FALSE)),(VLOOKUP($K$7,'モンスター　一覧'!$B$4:$O$198,10,FALSE)*性格一覧!$C47)*0.01*(VLOOKUP($L$3,ギルド一覧!$B$4:$R$29,13,FALSE)))</f>
        <v>45.24</v>
      </c>
      <c r="N56" s="195">
        <f>IF($L$4="通常",(VLOOKUP($K$7,'モンスター　一覧'!$B$4:$O$198,11,FALSE)*性格一覧!$D47)*0.01*(VLOOKUP($L$3,ギルド一覧!$B$4:$R$29,8,FALSE)),(VLOOKUP($K$7,'モンスター　一覧'!$B$4:$O$198,11,FALSE)*性格一覧!$D47)*0.01*(VLOOKUP($L$3,ギルド一覧!$B$4:$R$29,14,FALSE)))</f>
        <v>44.928000000000004</v>
      </c>
      <c r="O56" s="195">
        <f>IF($L$4="通常",(VLOOKUP($K$7,'モンスター　一覧'!$B$4:$O$198,12,FALSE)*性格一覧!$E47)*0.01*(VLOOKUP($L$3,ギルド一覧!$B$4:$R$29,9,FALSE)),(VLOOKUP($K$7,'モンスター　一覧'!$B$4:$O$198,12,FALSE)*性格一覧!$E47)*0.01*(VLOOKUP($L$3,ギルド一覧!$B$4:$R$29,15,FALSE)))</f>
        <v>449.1</v>
      </c>
      <c r="P56" s="195">
        <f>IF($L$4="通常",(VLOOKUP($K$7,'モンスター　一覧'!$B$4:$O$198,13,FALSE)*性格一覧!$F47)*0.01*(VLOOKUP($L$3,ギルド一覧!$B$4:$R$29,10,FALSE)),(VLOOKUP($K$7,'モンスター　一覧'!$B$4:$O$198,13,FALSE)*性格一覧!$F47)*0.01*(VLOOKUP($L$3,ギルド一覧!$B$4:$R$29,16,FALSE)))</f>
        <v>295.68</v>
      </c>
      <c r="Q56" s="196">
        <f>IF($L$4="通常",(VLOOKUP($K$7,'モンスター　一覧'!$B$4:$O$198,14,FALSE)*性格一覧!$G47)*0.01*(VLOOKUP($L$3,ギルド一覧!$B$4:$R$29,11,FALSE)),(VLOOKUP($K$7,'モンスター　一覧'!$B$4:$O$198,14,FALSE)*性格一覧!$G47)*0.01*(VLOOKUP($L$3,ギルド一覧!$B$4:$R$29,17,FALSE)))</f>
        <v>57.6</v>
      </c>
      <c r="R56" s="206">
        <f t="shared" si="1"/>
        <v>921.0680000000001</v>
      </c>
      <c r="T56" s="65" t="s">
        <v>62</v>
      </c>
      <c r="U56" s="195">
        <f>IF($U$4="通常",(VLOOKUP($T$7,'モンスター　一覧'!$B$4:$O$198,9,FALSE)*性格一覧!$B47)*0.01*(VLOOKUP($U$3,ギルド一覧!$B$4:$R$29,6,FALSE)),(VLOOKUP($T$7,'モンスター　一覧'!$B$4:$O$198,9,FALSE)*性格一覧!$B47)*0.01*(VLOOKUP($U$3,ギルド一覧!$B$4:$R$29,12,FALSE)))</f>
        <v>28.52</v>
      </c>
      <c r="V56" s="195">
        <f>IF($U$4="通常",(VLOOKUP($T$7,'モンスター　一覧'!$B$4:$O$198,10,FALSE)*性格一覧!$C47)*0.01*(VLOOKUP($U$3,ギルド一覧!$B$4:$R$29,7,FALSE)),(VLOOKUP($T$7,'モンスター　一覧'!$B$4:$O$198,10,FALSE)*性格一覧!$C47)*0.01*(VLOOKUP($U$3,ギルド一覧!$B$4:$R$29,13,FALSE)))</f>
        <v>45.24</v>
      </c>
      <c r="W56" s="195">
        <f>IF($U$4="通常",(VLOOKUP($T$7,'モンスター　一覧'!$B$4:$O$198,11,FALSE)*性格一覧!$D47)*0.01*(VLOOKUP($U$3,ギルド一覧!$B$4:$R$29,8,FALSE)),(VLOOKUP($T$7,'モンスター　一覧'!$B$4:$O$198,11,FALSE)*性格一覧!$D47)*0.01*(VLOOKUP($U$3,ギルド一覧!$B$4:$R$29,14,FALSE)))</f>
        <v>34.56</v>
      </c>
      <c r="X56" s="195">
        <f>IF($U$4="通常",(VLOOKUP($T$7,'モンスター　一覧'!$B$4:$O$198,12,FALSE)*性格一覧!$E47)*0.01*(VLOOKUP($U$3,ギルド一覧!$B$4:$R$29,9,FALSE)),(VLOOKUP($T$7,'モンスター　一覧'!$B$4:$O$198,12,FALSE)*性格一覧!$E47)*0.01*(VLOOKUP($U$3,ギルド一覧!$B$4:$R$29,15,FALSE)))</f>
        <v>499</v>
      </c>
      <c r="Y56" s="195">
        <f>IF($U$4="通常",(VLOOKUP($T$7,'モンスター　一覧'!$B$4:$O$198,13,FALSE)*性格一覧!$F47)*0.01*(VLOOKUP($U$3,ギルド一覧!$B$4:$R$29,10,FALSE)),(VLOOKUP($T$7,'モンスター　一覧'!$B$4:$O$198,13,FALSE)*性格一覧!$F47)*0.01*(VLOOKUP($U$3,ギルド一覧!$B$4:$R$29,16,FALSE)))</f>
        <v>295.68</v>
      </c>
      <c r="Z56" s="196">
        <f>IF($U$4="通常",(VLOOKUP($T$7,'モンスター　一覧'!$B$4:$O$198,14,FALSE)*性格一覧!$G47)*0.01*(VLOOKUP($U$3,ギルド一覧!$B$4:$R$29,11,FALSE)),(VLOOKUP($T$7,'モンスター　一覧'!$B$4:$O$198,14,FALSE)*性格一覧!$G47)*0.01*(VLOOKUP($U$3,ギルド一覧!$B$4:$R$29,17,FALSE)))</f>
        <v>57.6</v>
      </c>
      <c r="AA56" s="206">
        <f t="shared" si="2"/>
        <v>960.6</v>
      </c>
      <c r="AC56" s="152" t="s">
        <v>209</v>
      </c>
      <c r="AD56" s="150"/>
    </row>
    <row r="57" spans="2:30">
      <c r="AC57" s="152" t="s">
        <v>219</v>
      </c>
    </row>
    <row r="58" spans="2:30">
      <c r="AC58" s="152" t="s">
        <v>238</v>
      </c>
    </row>
    <row r="59" spans="2:30">
      <c r="AC59" s="152" t="s">
        <v>82</v>
      </c>
    </row>
    <row r="60" spans="2:30">
      <c r="AC60" s="152" t="s">
        <v>230</v>
      </c>
    </row>
    <row r="61" spans="2:30">
      <c r="AC61" s="152" t="s">
        <v>137</v>
      </c>
    </row>
    <row r="62" spans="2:30">
      <c r="AC62" s="152" t="s">
        <v>239</v>
      </c>
    </row>
    <row r="63" spans="2:30">
      <c r="AC63" s="152" t="s">
        <v>115</v>
      </c>
    </row>
    <row r="64" spans="2:30">
      <c r="AC64" s="152" t="s">
        <v>146</v>
      </c>
    </row>
    <row r="65" spans="29:29">
      <c r="AC65" s="152" t="s">
        <v>121</v>
      </c>
    </row>
    <row r="66" spans="29:29">
      <c r="AC66" s="152" t="s">
        <v>125</v>
      </c>
    </row>
    <row r="67" spans="29:29">
      <c r="AC67" s="152" t="s">
        <v>124</v>
      </c>
    </row>
    <row r="68" spans="29:29">
      <c r="AC68" s="152" t="s">
        <v>194</v>
      </c>
    </row>
    <row r="69" spans="29:29">
      <c r="AC69" s="152" t="s">
        <v>228</v>
      </c>
    </row>
    <row r="70" spans="29:29">
      <c r="AC70" s="152" t="s">
        <v>226</v>
      </c>
    </row>
    <row r="71" spans="29:29">
      <c r="AC71" s="152" t="s">
        <v>202</v>
      </c>
    </row>
    <row r="72" spans="29:29">
      <c r="AC72" s="152" t="s">
        <v>179</v>
      </c>
    </row>
    <row r="73" spans="29:29">
      <c r="AC73" s="152" t="s">
        <v>141</v>
      </c>
    </row>
    <row r="74" spans="29:29">
      <c r="AC74" s="152" t="s">
        <v>180</v>
      </c>
    </row>
    <row r="75" spans="29:29">
      <c r="AC75" s="152" t="s">
        <v>211</v>
      </c>
    </row>
    <row r="76" spans="29:29">
      <c r="AC76" s="152" t="s">
        <v>186</v>
      </c>
    </row>
    <row r="77" spans="29:29">
      <c r="AC77" s="152" t="s">
        <v>93</v>
      </c>
    </row>
    <row r="78" spans="29:29">
      <c r="AC78" s="152" t="s">
        <v>152</v>
      </c>
    </row>
    <row r="79" spans="29:29">
      <c r="AC79" s="152" t="s">
        <v>106</v>
      </c>
    </row>
    <row r="80" spans="29:29">
      <c r="AC80" s="152" t="s">
        <v>96</v>
      </c>
    </row>
    <row r="81" spans="29:29">
      <c r="AC81" s="152" t="s">
        <v>234</v>
      </c>
    </row>
    <row r="82" spans="29:29">
      <c r="AC82" s="152" t="s">
        <v>256</v>
      </c>
    </row>
    <row r="83" spans="29:29">
      <c r="AC83" s="152" t="s">
        <v>88</v>
      </c>
    </row>
    <row r="84" spans="29:29">
      <c r="AC84" s="152" t="s">
        <v>813</v>
      </c>
    </row>
    <row r="85" spans="29:29">
      <c r="AC85" s="152" t="s">
        <v>165</v>
      </c>
    </row>
    <row r="86" spans="29:29">
      <c r="AC86" s="152" t="s">
        <v>826</v>
      </c>
    </row>
    <row r="87" spans="29:29">
      <c r="AC87" s="152" t="s">
        <v>118</v>
      </c>
    </row>
    <row r="88" spans="29:29">
      <c r="AC88" s="152" t="s">
        <v>176</v>
      </c>
    </row>
    <row r="89" spans="29:29">
      <c r="AC89" s="152" t="s">
        <v>810</v>
      </c>
    </row>
    <row r="90" spans="29:29">
      <c r="AC90" s="152" t="s">
        <v>217</v>
      </c>
    </row>
    <row r="91" spans="29:29">
      <c r="AC91" s="152" t="s">
        <v>172</v>
      </c>
    </row>
    <row r="92" spans="29:29">
      <c r="AC92" s="152" t="s">
        <v>167</v>
      </c>
    </row>
    <row r="93" spans="29:29">
      <c r="AC93" s="152" t="s">
        <v>210</v>
      </c>
    </row>
    <row r="94" spans="29:29">
      <c r="AC94" s="152" t="s">
        <v>91</v>
      </c>
    </row>
    <row r="95" spans="29:29">
      <c r="AC95" s="152" t="s">
        <v>225</v>
      </c>
    </row>
    <row r="96" spans="29:29">
      <c r="AC96" s="152" t="s">
        <v>154</v>
      </c>
    </row>
    <row r="97" spans="29:29">
      <c r="AC97" s="152" t="s">
        <v>156</v>
      </c>
    </row>
    <row r="98" spans="29:29">
      <c r="AC98" s="152" t="s">
        <v>206</v>
      </c>
    </row>
    <row r="99" spans="29:29">
      <c r="AC99" s="152" t="s">
        <v>187</v>
      </c>
    </row>
    <row r="100" spans="29:29">
      <c r="AC100" s="152" t="s">
        <v>83</v>
      </c>
    </row>
    <row r="101" spans="29:29">
      <c r="AC101" s="152" t="s">
        <v>254</v>
      </c>
    </row>
    <row r="102" spans="29:29">
      <c r="AC102" s="152" t="s">
        <v>94</v>
      </c>
    </row>
    <row r="103" spans="29:29">
      <c r="AC103" s="152" t="s">
        <v>198</v>
      </c>
    </row>
    <row r="104" spans="29:29">
      <c r="AC104" s="152" t="s">
        <v>128</v>
      </c>
    </row>
    <row r="105" spans="29:29">
      <c r="AC105" s="152" t="s">
        <v>147</v>
      </c>
    </row>
    <row r="106" spans="29:29">
      <c r="AC106" s="152" t="s">
        <v>240</v>
      </c>
    </row>
    <row r="107" spans="29:29">
      <c r="AC107" s="152" t="s">
        <v>203</v>
      </c>
    </row>
    <row r="108" spans="29:29">
      <c r="AC108" s="152" t="s">
        <v>159</v>
      </c>
    </row>
    <row r="109" spans="29:29">
      <c r="AC109" s="152" t="s">
        <v>119</v>
      </c>
    </row>
    <row r="110" spans="29:29">
      <c r="AC110" s="152" t="s">
        <v>232</v>
      </c>
    </row>
    <row r="111" spans="29:29">
      <c r="AC111" s="152" t="s">
        <v>188</v>
      </c>
    </row>
    <row r="112" spans="29:29">
      <c r="AC112" s="152" t="s">
        <v>244</v>
      </c>
    </row>
    <row r="113" spans="29:29">
      <c r="AC113" s="152" t="s">
        <v>103</v>
      </c>
    </row>
    <row r="114" spans="29:29">
      <c r="AC114" s="152" t="s">
        <v>808</v>
      </c>
    </row>
    <row r="115" spans="29:29">
      <c r="AC115" s="152" t="s">
        <v>109</v>
      </c>
    </row>
    <row r="116" spans="29:29">
      <c r="AC116" s="152" t="s">
        <v>242</v>
      </c>
    </row>
    <row r="117" spans="29:29">
      <c r="AC117" s="152" t="s">
        <v>191</v>
      </c>
    </row>
    <row r="118" spans="29:29">
      <c r="AC118" s="152" t="s">
        <v>797</v>
      </c>
    </row>
    <row r="119" spans="29:29">
      <c r="AC119" s="152" t="s">
        <v>792</v>
      </c>
    </row>
    <row r="120" spans="29:29">
      <c r="AC120" s="152" t="s">
        <v>807</v>
      </c>
    </row>
    <row r="121" spans="29:29">
      <c r="AC121" s="152" t="s">
        <v>801</v>
      </c>
    </row>
    <row r="122" spans="29:29">
      <c r="AC122" s="152" t="s">
        <v>791</v>
      </c>
    </row>
    <row r="123" spans="29:29">
      <c r="AC123" s="152" t="s">
        <v>783</v>
      </c>
    </row>
    <row r="124" spans="29:29">
      <c r="AC124" s="152" t="s">
        <v>787</v>
      </c>
    </row>
    <row r="125" spans="29:29">
      <c r="AC125" s="152" t="s">
        <v>786</v>
      </c>
    </row>
    <row r="126" spans="29:29">
      <c r="AC126" s="152" t="s">
        <v>785</v>
      </c>
    </row>
    <row r="127" spans="29:29">
      <c r="AC127" s="152" t="s">
        <v>806</v>
      </c>
    </row>
    <row r="128" spans="29:29">
      <c r="AC128" s="152" t="s">
        <v>812</v>
      </c>
    </row>
    <row r="129" spans="29:29">
      <c r="AC129" s="152" t="s">
        <v>804</v>
      </c>
    </row>
    <row r="130" spans="29:29">
      <c r="AC130" s="152" t="s">
        <v>790</v>
      </c>
    </row>
    <row r="131" spans="29:29">
      <c r="AC131" s="152" t="s">
        <v>789</v>
      </c>
    </row>
    <row r="132" spans="29:29">
      <c r="AC132" s="152" t="s">
        <v>799</v>
      </c>
    </row>
    <row r="133" spans="29:29">
      <c r="AC133" s="152" t="s">
        <v>793</v>
      </c>
    </row>
    <row r="134" spans="29:29">
      <c r="AC134" s="152" t="s">
        <v>784</v>
      </c>
    </row>
    <row r="135" spans="29:29">
      <c r="AC135" s="152" t="s">
        <v>794</v>
      </c>
    </row>
    <row r="136" spans="29:29">
      <c r="AC136" s="152" t="s">
        <v>803</v>
      </c>
    </row>
    <row r="137" spans="29:29">
      <c r="AC137" s="152" t="s">
        <v>798</v>
      </c>
    </row>
    <row r="138" spans="29:29">
      <c r="AC138" s="152" t="s">
        <v>223</v>
      </c>
    </row>
    <row r="139" spans="29:29">
      <c r="AC139" s="152" t="s">
        <v>208</v>
      </c>
    </row>
    <row r="140" spans="29:29">
      <c r="AC140" s="152" t="s">
        <v>178</v>
      </c>
    </row>
    <row r="141" spans="29:29">
      <c r="AC141" s="152" t="s">
        <v>108</v>
      </c>
    </row>
    <row r="142" spans="29:29">
      <c r="AC142" s="152" t="s">
        <v>221</v>
      </c>
    </row>
    <row r="143" spans="29:29">
      <c r="AC143" s="152" t="s">
        <v>151</v>
      </c>
    </row>
    <row r="144" spans="29:29">
      <c r="AC144" s="152" t="s">
        <v>168</v>
      </c>
    </row>
    <row r="145" spans="29:29">
      <c r="AC145" s="152" t="s">
        <v>196</v>
      </c>
    </row>
    <row r="146" spans="29:29">
      <c r="AC146" s="152" t="s">
        <v>193</v>
      </c>
    </row>
    <row r="147" spans="29:29">
      <c r="AC147" s="152" t="s">
        <v>185</v>
      </c>
    </row>
    <row r="148" spans="29:29">
      <c r="AC148" s="152" t="s">
        <v>98</v>
      </c>
    </row>
    <row r="149" spans="29:29">
      <c r="AC149" s="152" t="s">
        <v>75</v>
      </c>
    </row>
    <row r="150" spans="29:29">
      <c r="AC150" s="152" t="s">
        <v>161</v>
      </c>
    </row>
    <row r="151" spans="29:29">
      <c r="AC151" s="152" t="s">
        <v>129</v>
      </c>
    </row>
    <row r="152" spans="29:29">
      <c r="AC152" s="152" t="s">
        <v>182</v>
      </c>
    </row>
    <row r="153" spans="29:29">
      <c r="AC153" s="152" t="s">
        <v>170</v>
      </c>
    </row>
    <row r="154" spans="29:29">
      <c r="AC154" s="152" t="s">
        <v>130</v>
      </c>
    </row>
    <row r="155" spans="29:29">
      <c r="AC155" s="152" t="s">
        <v>908</v>
      </c>
    </row>
    <row r="156" spans="29:29">
      <c r="AC156" s="152" t="s">
        <v>135</v>
      </c>
    </row>
    <row r="157" spans="29:29">
      <c r="AC157" s="152" t="s">
        <v>246</v>
      </c>
    </row>
    <row r="158" spans="29:29">
      <c r="AC158" s="152" t="s">
        <v>143</v>
      </c>
    </row>
  </sheetData>
  <mergeCells count="3">
    <mergeCell ref="C3:G3"/>
    <mergeCell ref="L3:P3"/>
    <mergeCell ref="U3:Y3"/>
  </mergeCells>
  <phoneticPr fontId="3"/>
  <conditionalFormatting sqref="C13:C56">
    <cfRule type="expression" dxfId="100" priority="122">
      <formula>C13=MAX(C$13:C$56)</formula>
    </cfRule>
    <cfRule type="expression" dxfId="99" priority="123">
      <formula>C13=MIN(C$13:C$56)</formula>
    </cfRule>
    <cfRule type="expression" dxfId="98" priority="142" stopIfTrue="1">
      <formula>C$12&lt;C13</formula>
    </cfRule>
    <cfRule type="expression" dxfId="97" priority="143" stopIfTrue="1">
      <formula>C$12&gt;C13</formula>
    </cfRule>
  </conditionalFormatting>
  <conditionalFormatting sqref="U13">
    <cfRule type="expression" dxfId="96" priority="162" stopIfTrue="1">
      <formula>$U$12&lt;$U13</formula>
    </cfRule>
    <cfRule type="expression" dxfId="95" priority="163" stopIfTrue="1">
      <formula>$U$12&gt;$U13</formula>
    </cfRule>
  </conditionalFormatting>
  <conditionalFormatting sqref="D13:D56">
    <cfRule type="expression" dxfId="94" priority="110">
      <formula>D13=MAX(D$13:D$56)</formula>
    </cfRule>
    <cfRule type="expression" dxfId="93" priority="111">
      <formula>D13=MIN(D$13:D$56)</formula>
    </cfRule>
    <cfRule type="expression" dxfId="92" priority="112" stopIfTrue="1">
      <formula>D$12&lt;D13</formula>
    </cfRule>
    <cfRule type="expression" dxfId="91" priority="113" stopIfTrue="1">
      <formula>D$12&gt;D13</formula>
    </cfRule>
  </conditionalFormatting>
  <conditionalFormatting sqref="E13:E56">
    <cfRule type="expression" dxfId="90" priority="106">
      <formula>E13=MAX(E$13:E$56)</formula>
    </cfRule>
    <cfRule type="expression" dxfId="89" priority="107">
      <formula>E13=MIN(E$13:E$56)</formula>
    </cfRule>
    <cfRule type="expression" dxfId="88" priority="108" stopIfTrue="1">
      <formula>E$12&lt;E13</formula>
    </cfRule>
    <cfRule type="expression" dxfId="87" priority="109" stopIfTrue="1">
      <formula>E$12&gt;E13</formula>
    </cfRule>
  </conditionalFormatting>
  <conditionalFormatting sqref="F13:F56">
    <cfRule type="expression" dxfId="86" priority="94">
      <formula>F13=MAX(F$13:F$56)</formula>
    </cfRule>
    <cfRule type="expression" dxfId="85" priority="95">
      <formula>F13=MIN(F$13:F$56)</formula>
    </cfRule>
    <cfRule type="expression" dxfId="84" priority="96" stopIfTrue="1">
      <formula>F$12&lt;F13</formula>
    </cfRule>
    <cfRule type="expression" dxfId="83" priority="97" stopIfTrue="1">
      <formula>F$12&gt;F13</formula>
    </cfRule>
  </conditionalFormatting>
  <conditionalFormatting sqref="G13:G56">
    <cfRule type="expression" dxfId="82" priority="90">
      <formula>G13=MAX(G$13:G$56)</formula>
    </cfRule>
    <cfRule type="expression" dxfId="81" priority="91">
      <formula>G13=MIN(G$13:G$56)</formula>
    </cfRule>
    <cfRule type="expression" dxfId="80" priority="92" stopIfTrue="1">
      <formula>G$12&lt;G13</formula>
    </cfRule>
    <cfRule type="expression" dxfId="79" priority="93" stopIfTrue="1">
      <formula>G$12&gt;G13</formula>
    </cfRule>
  </conditionalFormatting>
  <conditionalFormatting sqref="H13:H56">
    <cfRule type="expression" dxfId="78" priority="86">
      <formula>H13=MAX(H$13:H$56)</formula>
    </cfRule>
    <cfRule type="expression" dxfId="77" priority="87">
      <formula>H13=MIN(H$13:H$56)</formula>
    </cfRule>
    <cfRule type="expression" dxfId="76" priority="88" stopIfTrue="1">
      <formula>H$12&lt;H13</formula>
    </cfRule>
    <cfRule type="expression" dxfId="75" priority="89" stopIfTrue="1">
      <formula>H$12&gt;H13</formula>
    </cfRule>
  </conditionalFormatting>
  <conditionalFormatting sqref="L13:L56">
    <cfRule type="expression" dxfId="74" priority="82">
      <formula>L13=MAX(L$13:L$56)</formula>
    </cfRule>
    <cfRule type="expression" dxfId="73" priority="83">
      <formula>L13=MIN(L$13:L$56)</formula>
    </cfRule>
    <cfRule type="expression" dxfId="72" priority="84" stopIfTrue="1">
      <formula>L$12&lt;L13</formula>
    </cfRule>
    <cfRule type="expression" dxfId="71" priority="85" stopIfTrue="1">
      <formula>L$12&gt;L13</formula>
    </cfRule>
  </conditionalFormatting>
  <conditionalFormatting sqref="M13:M56">
    <cfRule type="expression" dxfId="70" priority="78">
      <formula>M13=MAX(M$13:M$56)</formula>
    </cfRule>
    <cfRule type="expression" dxfId="69" priority="79">
      <formula>M13=MIN(M$13:M$56)</formula>
    </cfRule>
    <cfRule type="expression" dxfId="68" priority="80" stopIfTrue="1">
      <formula>M$12&lt;M13</formula>
    </cfRule>
    <cfRule type="expression" dxfId="67" priority="81" stopIfTrue="1">
      <formula>M$12&gt;M13</formula>
    </cfRule>
  </conditionalFormatting>
  <conditionalFormatting sqref="N13:N56">
    <cfRule type="expression" dxfId="66" priority="74">
      <formula>N13=MAX(N$13:N$56)</formula>
    </cfRule>
    <cfRule type="expression" dxfId="65" priority="75">
      <formula>N13=MIN(N$13:N$56)</formula>
    </cfRule>
    <cfRule type="expression" dxfId="64" priority="76" stopIfTrue="1">
      <formula>N$12&lt;N13</formula>
    </cfRule>
    <cfRule type="expression" dxfId="63" priority="77" stopIfTrue="1">
      <formula>N$12&gt;N13</formula>
    </cfRule>
  </conditionalFormatting>
  <conditionalFormatting sqref="O13:O56">
    <cfRule type="expression" dxfId="62" priority="70">
      <formula>O13=MAX(O$13:O$56)</formula>
    </cfRule>
    <cfRule type="expression" dxfId="61" priority="71">
      <formula>O13=MIN(O$13:O$56)</formula>
    </cfRule>
    <cfRule type="expression" dxfId="60" priority="72" stopIfTrue="1">
      <formula>O$12&lt;O13</formula>
    </cfRule>
    <cfRule type="expression" dxfId="59" priority="73" stopIfTrue="1">
      <formula>O$12&gt;O13</formula>
    </cfRule>
  </conditionalFormatting>
  <conditionalFormatting sqref="P13:P56">
    <cfRule type="expression" dxfId="58" priority="66">
      <formula>P13=MAX(P$13:P$56)</formula>
    </cfRule>
    <cfRule type="expression" dxfId="57" priority="67">
      <formula>P13=MIN(P$13:P$56)</formula>
    </cfRule>
    <cfRule type="expression" dxfId="56" priority="68" stopIfTrue="1">
      <formula>P$12&lt;P13</formula>
    </cfRule>
    <cfRule type="expression" dxfId="55" priority="69" stopIfTrue="1">
      <formula>P$12&gt;P13</formula>
    </cfRule>
  </conditionalFormatting>
  <conditionalFormatting sqref="Q13:Q56">
    <cfRule type="expression" dxfId="54" priority="62">
      <formula>Q13=MAX(Q$13:Q$56)</formula>
    </cfRule>
    <cfRule type="expression" dxfId="53" priority="63">
      <formula>Q13=MIN(Q$13:Q$56)</formula>
    </cfRule>
    <cfRule type="expression" dxfId="52" priority="64" stopIfTrue="1">
      <formula>Q$12&lt;Q13</formula>
    </cfRule>
    <cfRule type="expression" dxfId="51" priority="65" stopIfTrue="1">
      <formula>Q$12&gt;Q13</formula>
    </cfRule>
  </conditionalFormatting>
  <conditionalFormatting sqref="U14:U56">
    <cfRule type="expression" dxfId="50" priority="58">
      <formula>U14=MAX(U$13:U$56)</formula>
    </cfRule>
    <cfRule type="expression" dxfId="49" priority="59">
      <formula>U14=MIN(U$13:U$56)</formula>
    </cfRule>
    <cfRule type="expression" dxfId="48" priority="60" stopIfTrue="1">
      <formula>U$12&lt;U14</formula>
    </cfRule>
    <cfRule type="expression" dxfId="47" priority="61" stopIfTrue="1">
      <formula>U$12&gt;U14</formula>
    </cfRule>
  </conditionalFormatting>
  <conditionalFormatting sqref="V13:V56">
    <cfRule type="expression" dxfId="46" priority="54">
      <formula>V13=MAX(V$13:V$56)</formula>
    </cfRule>
    <cfRule type="expression" dxfId="45" priority="55">
      <formula>V13=MIN(V$13:V$56)</formula>
    </cfRule>
    <cfRule type="expression" dxfId="44" priority="56" stopIfTrue="1">
      <formula>V$12&lt;V13</formula>
    </cfRule>
    <cfRule type="expression" dxfId="43" priority="57" stopIfTrue="1">
      <formula>V$12&gt;V13</formula>
    </cfRule>
  </conditionalFormatting>
  <conditionalFormatting sqref="W13:W56">
    <cfRule type="expression" dxfId="42" priority="50">
      <formula>W13=MAX(W$13:W$56)</formula>
    </cfRule>
    <cfRule type="expression" dxfId="41" priority="51">
      <formula>W13=MIN(W$13:W$56)</formula>
    </cfRule>
    <cfRule type="expression" dxfId="40" priority="52" stopIfTrue="1">
      <formula>W$12&lt;W13</formula>
    </cfRule>
    <cfRule type="expression" dxfId="39" priority="53" stopIfTrue="1">
      <formula>W$12&gt;W13</formula>
    </cfRule>
  </conditionalFormatting>
  <conditionalFormatting sqref="X13:X56">
    <cfRule type="expression" dxfId="38" priority="46">
      <formula>X13=MAX(X$13:X$56)</formula>
    </cfRule>
    <cfRule type="expression" dxfId="37" priority="47">
      <formula>X13=MIN(X$13:X$56)</formula>
    </cfRule>
    <cfRule type="expression" dxfId="36" priority="48" stopIfTrue="1">
      <formula>X$12&lt;X13</formula>
    </cfRule>
    <cfRule type="expression" dxfId="35" priority="49" stopIfTrue="1">
      <formula>X$12&gt;X13</formula>
    </cfRule>
  </conditionalFormatting>
  <conditionalFormatting sqref="Y13:Y56">
    <cfRule type="expression" dxfId="34" priority="42">
      <formula>Y13=MAX(Y$13:Y$56)</formula>
    </cfRule>
    <cfRule type="expression" dxfId="33" priority="43">
      <formula>Y13=MIN(Y$13:Y$56)</formula>
    </cfRule>
    <cfRule type="expression" dxfId="32" priority="44" stopIfTrue="1">
      <formula>Y$12&lt;Y13</formula>
    </cfRule>
    <cfRule type="expression" dxfId="31" priority="45" stopIfTrue="1">
      <formula>Y$12&gt;Y13</formula>
    </cfRule>
  </conditionalFormatting>
  <conditionalFormatting sqref="Z13:Z56">
    <cfRule type="expression" dxfId="30" priority="38">
      <formula>Z13=MAX(Z$13:Z$56)</formula>
    </cfRule>
    <cfRule type="expression" dxfId="29" priority="39">
      <formula>Z13=MIN(Z$13:Z$56)</formula>
    </cfRule>
    <cfRule type="expression" dxfId="28" priority="40" stopIfTrue="1">
      <formula>Z$12&lt;Z13</formula>
    </cfRule>
    <cfRule type="expression" dxfId="27" priority="41" stopIfTrue="1">
      <formula>Z$12&gt;Z13</formula>
    </cfRule>
  </conditionalFormatting>
  <conditionalFormatting sqref="C7">
    <cfRule type="expression" dxfId="26" priority="33">
      <formula>C$7="B"</formula>
    </cfRule>
    <cfRule type="expression" dxfId="25" priority="34">
      <formula>C$7="C"</formula>
    </cfRule>
    <cfRule type="expression" dxfId="24" priority="35">
      <formula>C$7="D"</formula>
    </cfRule>
    <cfRule type="expression" dxfId="23" priority="36">
      <formula>C$7="E"</formula>
    </cfRule>
    <cfRule type="expression" dxfId="22" priority="37">
      <formula>C$7="F"</formula>
    </cfRule>
  </conditionalFormatting>
  <conditionalFormatting sqref="L7">
    <cfRule type="expression" dxfId="21" priority="18">
      <formula>L$7="B"</formula>
    </cfRule>
    <cfRule type="expression" dxfId="20" priority="19">
      <formula>L$7="C"</formula>
    </cfRule>
    <cfRule type="expression" dxfId="19" priority="20">
      <formula>L$7="D"</formula>
    </cfRule>
    <cfRule type="expression" dxfId="18" priority="21">
      <formula>L$7="E"</formula>
    </cfRule>
    <cfRule type="expression" dxfId="17" priority="22">
      <formula>L$7="F"</formula>
    </cfRule>
  </conditionalFormatting>
  <conditionalFormatting sqref="U7">
    <cfRule type="expression" dxfId="16" priority="13">
      <formula>U$7="B"</formula>
    </cfRule>
    <cfRule type="expression" dxfId="15" priority="14">
      <formula>U$7="C"</formula>
    </cfRule>
    <cfRule type="expression" dxfId="14" priority="15">
      <formula>U$7="D"</formula>
    </cfRule>
    <cfRule type="expression" dxfId="13" priority="16">
      <formula>U$7="E"</formula>
    </cfRule>
    <cfRule type="expression" dxfId="12" priority="17">
      <formula>U$7="F"</formula>
    </cfRule>
  </conditionalFormatting>
  <conditionalFormatting sqref="I13:I56">
    <cfRule type="expression" dxfId="11" priority="9">
      <formula>I13=MAX(I$13:I$56)</formula>
    </cfRule>
    <cfRule type="expression" dxfId="10" priority="10">
      <formula>I13=MIN(I$13:I$56)</formula>
    </cfRule>
    <cfRule type="expression" dxfId="9" priority="11" stopIfTrue="1">
      <formula>I$12&lt;I13</formula>
    </cfRule>
    <cfRule type="expression" dxfId="8" priority="12" stopIfTrue="1">
      <formula>I$12&gt;I13</formula>
    </cfRule>
  </conditionalFormatting>
  <conditionalFormatting sqref="R13:R56">
    <cfRule type="expression" dxfId="7" priority="5">
      <formula>R13=MAX(R$13:R$56)</formula>
    </cfRule>
    <cfRule type="expression" dxfId="6" priority="6">
      <formula>R13=MIN(R$13:R$56)</formula>
    </cfRule>
    <cfRule type="expression" dxfId="5" priority="7" stopIfTrue="1">
      <formula>R$12&lt;R13</formula>
    </cfRule>
    <cfRule type="expression" dxfId="4" priority="8" stopIfTrue="1">
      <formula>R$12&gt;R13</formula>
    </cfRule>
  </conditionalFormatting>
  <conditionalFormatting sqref="AA13:AA56">
    <cfRule type="expression" dxfId="3" priority="1">
      <formula>AA13=MAX(AA$13:AA$56)</formula>
    </cfRule>
    <cfRule type="expression" dxfId="2" priority="2">
      <formula>AA13=MIN(AA$13:AA$56)</formula>
    </cfRule>
    <cfRule type="expression" dxfId="1" priority="3" stopIfTrue="1">
      <formula>AA$12&lt;AA13</formula>
    </cfRule>
    <cfRule type="expression" dxfId="0" priority="4" stopIfTrue="1">
      <formula>AA$12&gt;AA13</formula>
    </cfRule>
  </conditionalFormatting>
  <dataValidations count="3">
    <dataValidation type="list" allowBlank="1" showInputMessage="1" showErrorMessage="1" sqref="B7 K7 T7">
      <formula1>$AC$16:$AC$210</formula1>
    </dataValidation>
    <dataValidation type="list" allowBlank="1" showInputMessage="1" showErrorMessage="1" sqref="C3:G3 L3:P3 U3:Y3">
      <formula1>$AD$13:$AD$31</formula1>
    </dataValidation>
    <dataValidation type="list" allowBlank="1" showInputMessage="1" showErrorMessage="1" sqref="C4 L4 U4">
      <formula1>"通常,上位"</formula1>
    </dataValidation>
  </dataValidations>
  <pageMargins left="0.75" right="0.75" top="1" bottom="1" header="0.51200000000000001" footer="0.51200000000000001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9"/>
  <sheetViews>
    <sheetView showGridLines="0" zoomScale="85" zoomScaleNormal="85" workbookViewId="0">
      <pane xSplit="2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2.5" style="148" customWidth="1"/>
    <col min="2" max="2" width="20.5" customWidth="1"/>
    <col min="3" max="4" width="0" hidden="1" customWidth="1"/>
    <col min="5" max="6" width="31.625" customWidth="1"/>
    <col min="7" max="18" width="5.875" customWidth="1"/>
  </cols>
  <sheetData>
    <row r="1" spans="1:19" ht="18.75">
      <c r="A1" s="26" t="s">
        <v>836</v>
      </c>
    </row>
    <row r="2" spans="1:19" ht="14.25" thickBot="1">
      <c r="F2" s="25" t="s">
        <v>963</v>
      </c>
      <c r="G2" s="25" t="s">
        <v>952</v>
      </c>
      <c r="M2" s="25" t="s">
        <v>953</v>
      </c>
      <c r="N2" s="148"/>
      <c r="O2" s="148"/>
      <c r="P2" s="148"/>
      <c r="Q2" s="148"/>
      <c r="R2" s="148"/>
    </row>
    <row r="3" spans="1:19">
      <c r="B3" s="237" t="s">
        <v>829</v>
      </c>
      <c r="C3" s="238" t="s">
        <v>831</v>
      </c>
      <c r="D3" s="238" t="s">
        <v>830</v>
      </c>
      <c r="E3" s="238" t="s">
        <v>941</v>
      </c>
      <c r="F3" s="238" t="s">
        <v>832</v>
      </c>
      <c r="G3" s="221" t="s">
        <v>6</v>
      </c>
      <c r="H3" s="221" t="s">
        <v>7</v>
      </c>
      <c r="I3" s="221" t="s">
        <v>8</v>
      </c>
      <c r="J3" s="221" t="s">
        <v>9</v>
      </c>
      <c r="K3" s="221" t="s">
        <v>332</v>
      </c>
      <c r="L3" s="239" t="s">
        <v>11</v>
      </c>
      <c r="M3" s="240" t="s">
        <v>6</v>
      </c>
      <c r="N3" s="241" t="s">
        <v>7</v>
      </c>
      <c r="O3" s="241" t="s">
        <v>8</v>
      </c>
      <c r="P3" s="241" t="s">
        <v>9</v>
      </c>
      <c r="Q3" s="241" t="s">
        <v>332</v>
      </c>
      <c r="R3" s="242" t="s">
        <v>11</v>
      </c>
    </row>
    <row r="4" spans="1:19" s="148" customFormat="1">
      <c r="B4" s="243" t="s">
        <v>858</v>
      </c>
      <c r="C4" s="183" t="s">
        <v>355</v>
      </c>
      <c r="D4" s="183" t="s">
        <v>355</v>
      </c>
      <c r="E4" s="183" t="s">
        <v>355</v>
      </c>
      <c r="F4" s="183" t="s">
        <v>355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213">
        <v>1</v>
      </c>
      <c r="M4" s="214">
        <v>1</v>
      </c>
      <c r="N4" s="11">
        <v>1</v>
      </c>
      <c r="O4" s="11">
        <v>1</v>
      </c>
      <c r="P4" s="11">
        <v>1</v>
      </c>
      <c r="Q4" s="11">
        <v>1</v>
      </c>
      <c r="R4" s="35">
        <v>1</v>
      </c>
    </row>
    <row r="5" spans="1:19" ht="40.5">
      <c r="B5" s="30" t="s">
        <v>840</v>
      </c>
      <c r="C5" s="11"/>
      <c r="D5" s="11"/>
      <c r="E5" s="12" t="s">
        <v>852</v>
      </c>
      <c r="F5" s="12" t="s">
        <v>853</v>
      </c>
      <c r="G5" s="11">
        <v>1</v>
      </c>
      <c r="H5" s="11">
        <v>1</v>
      </c>
      <c r="I5" s="11">
        <v>1.05</v>
      </c>
      <c r="J5" s="11">
        <v>1.05</v>
      </c>
      <c r="K5" s="11">
        <v>1</v>
      </c>
      <c r="L5" s="213">
        <v>1</v>
      </c>
      <c r="M5" s="214">
        <v>1</v>
      </c>
      <c r="N5" s="11">
        <v>1</v>
      </c>
      <c r="O5" s="216">
        <v>1.1000000000000001</v>
      </c>
      <c r="P5" s="216">
        <v>1.1000000000000001</v>
      </c>
      <c r="Q5" s="11">
        <v>1</v>
      </c>
      <c r="R5" s="35">
        <v>1</v>
      </c>
    </row>
    <row r="6" spans="1:19" s="148" customFormat="1" ht="40.5">
      <c r="B6" s="30" t="s">
        <v>841</v>
      </c>
      <c r="C6" s="11"/>
      <c r="D6" s="11"/>
      <c r="E6" s="12" t="s">
        <v>846</v>
      </c>
      <c r="F6" s="12" t="s">
        <v>849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213">
        <v>1</v>
      </c>
      <c r="M6" s="214">
        <v>1</v>
      </c>
      <c r="N6" s="11">
        <v>1</v>
      </c>
      <c r="O6" s="11">
        <v>1</v>
      </c>
      <c r="P6" s="11">
        <v>1</v>
      </c>
      <c r="Q6" s="11">
        <v>1</v>
      </c>
      <c r="R6" s="35">
        <v>1</v>
      </c>
    </row>
    <row r="7" spans="1:19" s="148" customFormat="1" ht="40.5">
      <c r="B7" s="30" t="s">
        <v>842</v>
      </c>
      <c r="C7" s="11"/>
      <c r="D7" s="11"/>
      <c r="E7" s="12" t="s">
        <v>848</v>
      </c>
      <c r="F7" s="12" t="s">
        <v>850</v>
      </c>
      <c r="G7" s="11">
        <v>1</v>
      </c>
      <c r="H7" s="11">
        <v>1</v>
      </c>
      <c r="I7" s="11">
        <v>1</v>
      </c>
      <c r="J7" s="11">
        <v>0.95</v>
      </c>
      <c r="K7" s="11">
        <v>1</v>
      </c>
      <c r="L7" s="213">
        <v>1</v>
      </c>
      <c r="M7" s="214">
        <v>1</v>
      </c>
      <c r="N7" s="11">
        <v>1</v>
      </c>
      <c r="O7" s="11">
        <v>1</v>
      </c>
      <c r="P7" s="11">
        <v>0.95</v>
      </c>
      <c r="Q7" s="11">
        <v>1</v>
      </c>
      <c r="R7" s="35">
        <v>1</v>
      </c>
    </row>
    <row r="8" spans="1:19" s="148" customFormat="1" ht="40.5">
      <c r="B8" s="30" t="s">
        <v>843</v>
      </c>
      <c r="C8" s="11"/>
      <c r="D8" s="11"/>
      <c r="E8" s="12" t="s">
        <v>847</v>
      </c>
      <c r="F8" s="12" t="s">
        <v>851</v>
      </c>
      <c r="G8" s="11">
        <v>1</v>
      </c>
      <c r="H8" s="11">
        <v>1</v>
      </c>
      <c r="I8" s="11">
        <v>1</v>
      </c>
      <c r="J8" s="11">
        <v>1.05</v>
      </c>
      <c r="K8" s="11">
        <v>1</v>
      </c>
      <c r="L8" s="213">
        <v>1.1000000000000001</v>
      </c>
      <c r="M8" s="214">
        <v>1</v>
      </c>
      <c r="N8" s="11">
        <v>1</v>
      </c>
      <c r="O8" s="11">
        <v>1</v>
      </c>
      <c r="P8" s="11">
        <v>1.05</v>
      </c>
      <c r="Q8" s="11">
        <v>1</v>
      </c>
      <c r="R8" s="244">
        <v>1.2</v>
      </c>
    </row>
    <row r="9" spans="1:19" s="148" customFormat="1" ht="40.5">
      <c r="B9" s="30" t="s">
        <v>844</v>
      </c>
      <c r="C9" s="11"/>
      <c r="D9" s="11"/>
      <c r="E9" s="12" t="s">
        <v>854</v>
      </c>
      <c r="F9" s="12" t="s">
        <v>855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213">
        <v>1</v>
      </c>
      <c r="M9" s="214">
        <v>1</v>
      </c>
      <c r="N9" s="11">
        <v>1</v>
      </c>
      <c r="O9" s="11">
        <v>1</v>
      </c>
      <c r="P9" s="11">
        <v>1</v>
      </c>
      <c r="Q9" s="11">
        <v>1</v>
      </c>
      <c r="R9" s="35">
        <v>1</v>
      </c>
    </row>
    <row r="10" spans="1:19" s="148" customFormat="1" ht="27">
      <c r="B10" s="30" t="s">
        <v>845</v>
      </c>
      <c r="C10" s="11"/>
      <c r="D10" s="11"/>
      <c r="E10" s="12" t="s">
        <v>857</v>
      </c>
      <c r="F10" s="11" t="s">
        <v>856</v>
      </c>
      <c r="G10" s="11">
        <v>1</v>
      </c>
      <c r="H10" s="11">
        <v>1</v>
      </c>
      <c r="I10" s="11">
        <v>1</v>
      </c>
      <c r="J10" s="11">
        <v>1.1499999999999999</v>
      </c>
      <c r="K10" s="11">
        <v>1</v>
      </c>
      <c r="L10" s="213">
        <v>1</v>
      </c>
      <c r="M10" s="215">
        <v>1</v>
      </c>
      <c r="N10" s="212">
        <v>1</v>
      </c>
      <c r="O10" s="212">
        <v>1</v>
      </c>
      <c r="P10" s="212">
        <v>1.1499999999999999</v>
      </c>
      <c r="Q10" s="212">
        <v>1</v>
      </c>
      <c r="R10" s="245">
        <v>1</v>
      </c>
      <c r="S10" s="149" t="s">
        <v>892</v>
      </c>
    </row>
    <row r="11" spans="1:19" ht="40.5">
      <c r="B11" s="30" t="s">
        <v>859</v>
      </c>
      <c r="C11" s="11"/>
      <c r="D11" s="11"/>
      <c r="E11" s="12" t="s">
        <v>865</v>
      </c>
      <c r="F11" s="12" t="s">
        <v>866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213">
        <v>1</v>
      </c>
      <c r="M11" s="214">
        <v>1</v>
      </c>
      <c r="N11" s="11">
        <v>1</v>
      </c>
      <c r="O11" s="11">
        <v>1</v>
      </c>
      <c r="P11" s="11">
        <v>1</v>
      </c>
      <c r="Q11" s="216">
        <v>1.1000000000000001</v>
      </c>
      <c r="R11" s="35">
        <v>1</v>
      </c>
    </row>
    <row r="12" spans="1:19" ht="40.5">
      <c r="B12" s="30" t="s">
        <v>860</v>
      </c>
      <c r="C12" s="11"/>
      <c r="D12" s="11"/>
      <c r="E12" s="12" t="s">
        <v>867</v>
      </c>
      <c r="F12" s="12" t="s">
        <v>868</v>
      </c>
      <c r="G12" s="11">
        <v>1</v>
      </c>
      <c r="H12" s="11">
        <v>1</v>
      </c>
      <c r="I12" s="11">
        <v>1</v>
      </c>
      <c r="J12" s="11">
        <v>0.75</v>
      </c>
      <c r="K12" s="11">
        <v>1</v>
      </c>
      <c r="L12" s="213">
        <v>1.5</v>
      </c>
      <c r="M12" s="214">
        <v>1</v>
      </c>
      <c r="N12" s="11">
        <v>1</v>
      </c>
      <c r="O12" s="11">
        <v>1</v>
      </c>
      <c r="P12" s="216">
        <v>1.25</v>
      </c>
      <c r="Q12" s="11">
        <v>1</v>
      </c>
      <c r="R12" s="35">
        <v>1.5</v>
      </c>
    </row>
    <row r="13" spans="1:19" ht="27">
      <c r="B13" s="30" t="s">
        <v>861</v>
      </c>
      <c r="C13" s="11"/>
      <c r="D13" s="11"/>
      <c r="E13" s="12" t="s">
        <v>869</v>
      </c>
      <c r="F13" s="12" t="s">
        <v>870</v>
      </c>
      <c r="G13" s="11">
        <v>1</v>
      </c>
      <c r="H13" s="11">
        <v>1</v>
      </c>
      <c r="I13" s="11">
        <v>1</v>
      </c>
      <c r="J13" s="11">
        <v>1</v>
      </c>
      <c r="K13" s="11">
        <v>0.8</v>
      </c>
      <c r="L13" s="213">
        <v>1.5</v>
      </c>
      <c r="M13" s="214">
        <v>1</v>
      </c>
      <c r="N13" s="11">
        <v>1</v>
      </c>
      <c r="O13" s="11">
        <v>1</v>
      </c>
      <c r="P13" s="11">
        <v>1</v>
      </c>
      <c r="Q13" s="216">
        <v>1.2</v>
      </c>
      <c r="R13" s="35">
        <v>1.5</v>
      </c>
    </row>
    <row r="14" spans="1:19">
      <c r="B14" s="30" t="s">
        <v>862</v>
      </c>
      <c r="C14" s="11"/>
      <c r="D14" s="11"/>
      <c r="E14" s="12" t="s">
        <v>871</v>
      </c>
      <c r="F14" s="217" t="s">
        <v>872</v>
      </c>
      <c r="G14" s="11">
        <v>1</v>
      </c>
      <c r="H14" s="11">
        <v>1</v>
      </c>
      <c r="I14" s="11">
        <v>1</v>
      </c>
      <c r="J14" s="11">
        <v>1</v>
      </c>
      <c r="K14" s="11">
        <v>1.5</v>
      </c>
      <c r="L14" s="213">
        <v>1</v>
      </c>
      <c r="M14" s="214">
        <v>1</v>
      </c>
      <c r="N14" s="11">
        <v>1</v>
      </c>
      <c r="O14" s="11">
        <v>1</v>
      </c>
      <c r="P14" s="11">
        <v>1</v>
      </c>
      <c r="Q14" s="216">
        <v>1.6</v>
      </c>
      <c r="R14" s="35">
        <v>1</v>
      </c>
    </row>
    <row r="15" spans="1:19" ht="40.5">
      <c r="B15" s="30" t="s">
        <v>863</v>
      </c>
      <c r="C15" s="11"/>
      <c r="D15" s="11"/>
      <c r="E15" s="12" t="s">
        <v>873</v>
      </c>
      <c r="F15" s="12" t="s">
        <v>874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213">
        <v>1</v>
      </c>
      <c r="M15" s="214">
        <v>1</v>
      </c>
      <c r="N15" s="11">
        <v>1</v>
      </c>
      <c r="O15" s="11">
        <v>1</v>
      </c>
      <c r="P15" s="11">
        <v>1</v>
      </c>
      <c r="Q15" s="11">
        <v>1</v>
      </c>
      <c r="R15" s="35">
        <v>1</v>
      </c>
    </row>
    <row r="16" spans="1:19" ht="40.5">
      <c r="B16" s="30" t="s">
        <v>864</v>
      </c>
      <c r="C16" s="11"/>
      <c r="D16" s="11"/>
      <c r="E16" s="12" t="s">
        <v>875</v>
      </c>
      <c r="F16" s="12" t="s">
        <v>880</v>
      </c>
      <c r="G16" s="11">
        <v>1</v>
      </c>
      <c r="H16" s="11">
        <v>1</v>
      </c>
      <c r="I16" s="11">
        <v>1.2</v>
      </c>
      <c r="J16" s="11">
        <v>0.9</v>
      </c>
      <c r="K16" s="11">
        <v>1</v>
      </c>
      <c r="L16" s="213">
        <v>1</v>
      </c>
      <c r="M16" s="214">
        <v>1</v>
      </c>
      <c r="N16" s="11">
        <v>1</v>
      </c>
      <c r="O16" s="216">
        <v>1.3</v>
      </c>
      <c r="P16" s="11">
        <v>0.9</v>
      </c>
      <c r="Q16" s="11">
        <v>1</v>
      </c>
      <c r="R16" s="35">
        <v>1</v>
      </c>
    </row>
    <row r="17" spans="2:19" ht="40.5">
      <c r="B17" s="30" t="s">
        <v>876</v>
      </c>
      <c r="C17" s="11"/>
      <c r="D17" s="11"/>
      <c r="E17" s="12" t="s">
        <v>881</v>
      </c>
      <c r="F17" s="12" t="s">
        <v>882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213">
        <v>1</v>
      </c>
      <c r="M17" s="214">
        <v>1</v>
      </c>
      <c r="N17" s="11">
        <v>1</v>
      </c>
      <c r="O17" s="11">
        <v>1</v>
      </c>
      <c r="P17" s="11">
        <v>1</v>
      </c>
      <c r="Q17" s="11">
        <v>1</v>
      </c>
      <c r="R17" s="35">
        <v>1</v>
      </c>
    </row>
    <row r="18" spans="2:19">
      <c r="B18" s="30" t="s">
        <v>877</v>
      </c>
      <c r="C18" s="11"/>
      <c r="D18" s="11"/>
      <c r="E18" s="12" t="s">
        <v>883</v>
      </c>
      <c r="F18" s="217" t="s">
        <v>884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213">
        <v>1</v>
      </c>
      <c r="M18" s="214">
        <v>1</v>
      </c>
      <c r="N18" s="11">
        <v>1</v>
      </c>
      <c r="O18" s="11">
        <v>1</v>
      </c>
      <c r="P18" s="11">
        <v>1</v>
      </c>
      <c r="Q18" s="11">
        <v>1</v>
      </c>
      <c r="R18" s="35">
        <v>1</v>
      </c>
    </row>
    <row r="19" spans="2:19" ht="40.5">
      <c r="B19" s="30" t="s">
        <v>878</v>
      </c>
      <c r="C19" s="11"/>
      <c r="D19" s="11"/>
      <c r="E19" s="12" t="s">
        <v>885</v>
      </c>
      <c r="F19" s="12" t="s">
        <v>886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213">
        <v>1</v>
      </c>
      <c r="M19" s="214">
        <v>1</v>
      </c>
      <c r="N19" s="11">
        <v>1</v>
      </c>
      <c r="O19" s="11">
        <v>1</v>
      </c>
      <c r="P19" s="11">
        <v>1</v>
      </c>
      <c r="Q19" s="11">
        <v>1</v>
      </c>
      <c r="R19" s="35">
        <v>1</v>
      </c>
    </row>
    <row r="20" spans="2:19" ht="40.5">
      <c r="B20" s="30" t="s">
        <v>879</v>
      </c>
      <c r="C20" s="11"/>
      <c r="D20" s="11"/>
      <c r="E20" s="12" t="s">
        <v>887</v>
      </c>
      <c r="F20" s="12" t="s">
        <v>888</v>
      </c>
      <c r="G20" s="11">
        <v>1</v>
      </c>
      <c r="H20" s="11">
        <v>1</v>
      </c>
      <c r="I20" s="11">
        <v>1.1000000000000001</v>
      </c>
      <c r="J20" s="11">
        <v>1</v>
      </c>
      <c r="K20" s="11">
        <v>1</v>
      </c>
      <c r="L20" s="213">
        <v>1.1000000000000001</v>
      </c>
      <c r="M20" s="214">
        <v>1</v>
      </c>
      <c r="N20" s="11">
        <v>1</v>
      </c>
      <c r="O20" s="11">
        <v>1.1000000000000001</v>
      </c>
      <c r="P20" s="216">
        <v>1.1000000000000001</v>
      </c>
      <c r="Q20" s="11">
        <v>1</v>
      </c>
      <c r="R20" s="35">
        <v>1.1000000000000001</v>
      </c>
    </row>
    <row r="21" spans="2:19" ht="40.5">
      <c r="B21" s="30" t="s">
        <v>889</v>
      </c>
      <c r="C21" s="11"/>
      <c r="D21" s="11"/>
      <c r="E21" s="12" t="s">
        <v>891</v>
      </c>
      <c r="F21" s="12" t="s">
        <v>856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213">
        <v>1</v>
      </c>
      <c r="M21" s="215">
        <v>1</v>
      </c>
      <c r="N21" s="212">
        <v>1</v>
      </c>
      <c r="O21" s="212">
        <v>1</v>
      </c>
      <c r="P21" s="212">
        <v>1</v>
      </c>
      <c r="Q21" s="212">
        <v>1</v>
      </c>
      <c r="R21" s="245">
        <v>1</v>
      </c>
      <c r="S21" s="149" t="s">
        <v>892</v>
      </c>
    </row>
    <row r="22" spans="2:19" ht="40.5">
      <c r="B22" s="30" t="s">
        <v>890</v>
      </c>
      <c r="C22" s="11"/>
      <c r="D22" s="11"/>
      <c r="E22" s="12" t="s">
        <v>893</v>
      </c>
      <c r="F22" s="12" t="s">
        <v>856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213">
        <v>1</v>
      </c>
      <c r="M22" s="215">
        <v>1</v>
      </c>
      <c r="N22" s="212">
        <v>1</v>
      </c>
      <c r="O22" s="212">
        <v>1</v>
      </c>
      <c r="P22" s="212">
        <v>1</v>
      </c>
      <c r="Q22" s="212">
        <v>1</v>
      </c>
      <c r="R22" s="245">
        <v>1</v>
      </c>
      <c r="S22" s="149" t="s">
        <v>892</v>
      </c>
    </row>
    <row r="23" spans="2:19">
      <c r="B23" s="30"/>
      <c r="C23" s="11"/>
      <c r="D23" s="11"/>
      <c r="E23" s="11"/>
      <c r="F23" s="11"/>
      <c r="G23" s="11"/>
      <c r="H23" s="11"/>
      <c r="I23" s="11"/>
      <c r="J23" s="11"/>
      <c r="K23" s="11"/>
      <c r="L23" s="213"/>
      <c r="M23" s="214"/>
      <c r="N23" s="11"/>
      <c r="O23" s="11"/>
      <c r="P23" s="11"/>
      <c r="Q23" s="11"/>
      <c r="R23" s="35"/>
    </row>
    <row r="24" spans="2:19">
      <c r="B24" s="30"/>
      <c r="C24" s="11"/>
      <c r="D24" s="11"/>
      <c r="E24" s="11"/>
      <c r="F24" s="11"/>
      <c r="G24" s="11"/>
      <c r="H24" s="11"/>
      <c r="I24" s="11"/>
      <c r="J24" s="11"/>
      <c r="K24" s="11"/>
      <c r="L24" s="213"/>
      <c r="M24" s="214"/>
      <c r="N24" s="11"/>
      <c r="O24" s="11"/>
      <c r="P24" s="11"/>
      <c r="Q24" s="11"/>
      <c r="R24" s="35"/>
    </row>
    <row r="25" spans="2:19">
      <c r="B25" s="30"/>
      <c r="C25" s="11"/>
      <c r="D25" s="11"/>
      <c r="E25" s="11"/>
      <c r="F25" s="11"/>
      <c r="G25" s="11"/>
      <c r="H25" s="11"/>
      <c r="I25" s="11"/>
      <c r="J25" s="11"/>
      <c r="K25" s="11"/>
      <c r="L25" s="213"/>
      <c r="M25" s="214"/>
      <c r="N25" s="11"/>
      <c r="O25" s="11"/>
      <c r="P25" s="11"/>
      <c r="Q25" s="11"/>
      <c r="R25" s="35"/>
    </row>
    <row r="26" spans="2:19">
      <c r="B26" s="30"/>
      <c r="C26" s="11"/>
      <c r="D26" s="11"/>
      <c r="E26" s="11"/>
      <c r="F26" s="11"/>
      <c r="G26" s="11"/>
      <c r="H26" s="11"/>
      <c r="I26" s="11"/>
      <c r="J26" s="11"/>
      <c r="K26" s="11"/>
      <c r="L26" s="213"/>
      <c r="M26" s="214"/>
      <c r="N26" s="11"/>
      <c r="O26" s="11"/>
      <c r="P26" s="11"/>
      <c r="Q26" s="11"/>
      <c r="R26" s="35"/>
    </row>
    <row r="27" spans="2:19">
      <c r="B27" s="30"/>
      <c r="C27" s="11"/>
      <c r="D27" s="11"/>
      <c r="E27" s="11"/>
      <c r="F27" s="11"/>
      <c r="G27" s="11"/>
      <c r="H27" s="11"/>
      <c r="I27" s="11"/>
      <c r="J27" s="11"/>
      <c r="K27" s="11"/>
      <c r="L27" s="213"/>
      <c r="M27" s="214"/>
      <c r="N27" s="11"/>
      <c r="O27" s="11"/>
      <c r="P27" s="11"/>
      <c r="Q27" s="11"/>
      <c r="R27" s="35"/>
    </row>
    <row r="28" spans="2:19">
      <c r="B28" s="30"/>
      <c r="C28" s="11"/>
      <c r="D28" s="11"/>
      <c r="E28" s="11"/>
      <c r="F28" s="11"/>
      <c r="G28" s="11"/>
      <c r="H28" s="11"/>
      <c r="I28" s="11"/>
      <c r="J28" s="11"/>
      <c r="K28" s="11"/>
      <c r="L28" s="213"/>
      <c r="M28" s="214"/>
      <c r="N28" s="11"/>
      <c r="O28" s="11"/>
      <c r="P28" s="11"/>
      <c r="Q28" s="11"/>
      <c r="R28" s="35"/>
    </row>
    <row r="29" spans="2:19" ht="14.25" thickBot="1">
      <c r="B29" s="31"/>
      <c r="C29" s="125"/>
      <c r="D29" s="125"/>
      <c r="E29" s="125"/>
      <c r="F29" s="125"/>
      <c r="G29" s="125"/>
      <c r="H29" s="125"/>
      <c r="I29" s="125"/>
      <c r="J29" s="125"/>
      <c r="K29" s="125"/>
      <c r="L29" s="246"/>
      <c r="M29" s="247"/>
      <c r="N29" s="125"/>
      <c r="O29" s="125"/>
      <c r="P29" s="125"/>
      <c r="Q29" s="125"/>
      <c r="R29" s="3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W198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4.75" bestFit="1" customWidth="1"/>
    <col min="2" max="2" width="17" customWidth="1"/>
    <col min="6" max="6" width="13.5" customWidth="1"/>
    <col min="7" max="7" width="17.75" bestFit="1" customWidth="1"/>
    <col min="8" max="8" width="14.375" customWidth="1"/>
    <col min="9" max="9" width="20.25" customWidth="1"/>
    <col min="10" max="15" width="6.625" customWidth="1"/>
    <col min="16" max="17" width="12.375" style="23" customWidth="1"/>
    <col min="18" max="18" width="12.75" style="23" bestFit="1" customWidth="1"/>
    <col min="19" max="19" width="11.625" style="23" bestFit="1" customWidth="1"/>
    <col min="20" max="20" width="37.5" customWidth="1"/>
    <col min="21" max="21" width="37.625" customWidth="1"/>
    <col min="22" max="22" width="40.375" customWidth="1"/>
    <col min="23" max="23" width="30.5" customWidth="1"/>
  </cols>
  <sheetData>
    <row r="1" spans="1:23" ht="18.75">
      <c r="A1" s="26" t="s">
        <v>833</v>
      </c>
    </row>
    <row r="2" spans="1:23" ht="14.25" thickBot="1">
      <c r="A2" s="25"/>
      <c r="J2" t="s">
        <v>336</v>
      </c>
      <c r="T2" t="s">
        <v>346</v>
      </c>
    </row>
    <row r="3" spans="1:23" ht="30" customHeight="1" thickBot="1">
      <c r="A3" s="83" t="s">
        <v>112</v>
      </c>
      <c r="B3" s="84" t="s">
        <v>113</v>
      </c>
      <c r="C3" s="85" t="s">
        <v>79</v>
      </c>
      <c r="D3" s="85" t="s">
        <v>306</v>
      </c>
      <c r="E3" s="85" t="s">
        <v>114</v>
      </c>
      <c r="F3" s="85" t="s">
        <v>85</v>
      </c>
      <c r="G3" s="85" t="s">
        <v>76</v>
      </c>
      <c r="H3" s="86" t="s">
        <v>342</v>
      </c>
      <c r="I3" s="86" t="s">
        <v>343</v>
      </c>
      <c r="J3" s="87" t="s">
        <v>6</v>
      </c>
      <c r="K3" s="87" t="s">
        <v>7</v>
      </c>
      <c r="L3" s="87" t="s">
        <v>8</v>
      </c>
      <c r="M3" s="87" t="s">
        <v>9</v>
      </c>
      <c r="N3" s="87" t="s">
        <v>332</v>
      </c>
      <c r="O3" s="87" t="s">
        <v>11</v>
      </c>
      <c r="P3" s="88" t="s">
        <v>301</v>
      </c>
      <c r="Q3" s="88" t="s">
        <v>302</v>
      </c>
      <c r="R3" s="88" t="s">
        <v>303</v>
      </c>
      <c r="S3" s="88" t="s">
        <v>304</v>
      </c>
      <c r="T3" s="89" t="s">
        <v>347</v>
      </c>
      <c r="U3" s="89" t="s">
        <v>348</v>
      </c>
      <c r="V3" s="89" t="s">
        <v>349</v>
      </c>
      <c r="W3" s="90" t="s">
        <v>350</v>
      </c>
    </row>
    <row r="4" spans="1:23" ht="27">
      <c r="A4" s="77">
        <v>1</v>
      </c>
      <c r="B4" s="78" t="s">
        <v>115</v>
      </c>
      <c r="C4" s="79" t="s">
        <v>80</v>
      </c>
      <c r="D4" s="80" t="s">
        <v>116</v>
      </c>
      <c r="E4" s="81">
        <v>9</v>
      </c>
      <c r="F4" s="81" t="s">
        <v>117</v>
      </c>
      <c r="G4" s="81" t="s">
        <v>257</v>
      </c>
      <c r="H4" s="81" t="s">
        <v>344</v>
      </c>
      <c r="I4" s="81" t="s">
        <v>345</v>
      </c>
      <c r="J4" s="81">
        <v>77</v>
      </c>
      <c r="K4" s="81">
        <v>37</v>
      </c>
      <c r="L4" s="81">
        <v>69</v>
      </c>
      <c r="M4" s="81">
        <v>55</v>
      </c>
      <c r="N4" s="81">
        <v>89</v>
      </c>
      <c r="O4" s="81">
        <v>62</v>
      </c>
      <c r="P4" s="82">
        <v>0.58399999999999996</v>
      </c>
      <c r="Q4" s="82">
        <v>0.3</v>
      </c>
      <c r="R4" s="82">
        <v>0.62</v>
      </c>
      <c r="S4" s="82">
        <v>1.25</v>
      </c>
      <c r="T4" s="81" t="s">
        <v>65</v>
      </c>
      <c r="U4" s="81" t="s">
        <v>351</v>
      </c>
      <c r="V4" s="81" t="s">
        <v>352</v>
      </c>
      <c r="W4" s="81" t="s">
        <v>353</v>
      </c>
    </row>
    <row r="5" spans="1:23" ht="54">
      <c r="A5" s="13">
        <v>2</v>
      </c>
      <c r="B5" s="14" t="s">
        <v>118</v>
      </c>
      <c r="C5" s="15" t="s">
        <v>80</v>
      </c>
      <c r="D5" s="16" t="s">
        <v>116</v>
      </c>
      <c r="E5" s="17">
        <v>13</v>
      </c>
      <c r="F5" s="17" t="s">
        <v>117</v>
      </c>
      <c r="G5" s="17" t="s">
        <v>258</v>
      </c>
      <c r="H5" s="17" t="s">
        <v>357</v>
      </c>
      <c r="I5" s="17" t="s">
        <v>356</v>
      </c>
      <c r="J5" s="17">
        <v>93</v>
      </c>
      <c r="K5" s="17">
        <v>43</v>
      </c>
      <c r="L5" s="17">
        <v>74</v>
      </c>
      <c r="M5" s="17">
        <v>62</v>
      </c>
      <c r="N5" s="17">
        <v>112</v>
      </c>
      <c r="O5" s="17">
        <v>56</v>
      </c>
      <c r="P5" s="24">
        <v>0.40400000000000003</v>
      </c>
      <c r="Q5" s="24">
        <v>0.3</v>
      </c>
      <c r="R5" s="24">
        <v>0.62</v>
      </c>
      <c r="S5" s="24">
        <v>1.25</v>
      </c>
      <c r="T5" s="17" t="s">
        <v>355</v>
      </c>
      <c r="U5" s="17" t="s">
        <v>354</v>
      </c>
      <c r="V5" s="17" t="s">
        <v>352</v>
      </c>
      <c r="W5" s="17" t="s">
        <v>353</v>
      </c>
    </row>
    <row r="6" spans="1:23" ht="81">
      <c r="A6" s="13">
        <v>3</v>
      </c>
      <c r="B6" s="14" t="s">
        <v>119</v>
      </c>
      <c r="C6" s="15" t="s">
        <v>80</v>
      </c>
      <c r="D6" s="16" t="s">
        <v>116</v>
      </c>
      <c r="E6" s="17">
        <v>15</v>
      </c>
      <c r="F6" s="17" t="s">
        <v>120</v>
      </c>
      <c r="G6" s="17" t="s">
        <v>257</v>
      </c>
      <c r="H6" s="17" t="s">
        <v>344</v>
      </c>
      <c r="I6" s="17" t="s">
        <v>360</v>
      </c>
      <c r="J6" s="17">
        <v>117</v>
      </c>
      <c r="K6" s="17">
        <v>92</v>
      </c>
      <c r="L6" s="17">
        <v>55</v>
      </c>
      <c r="M6" s="17">
        <v>89</v>
      </c>
      <c r="N6" s="17">
        <v>123</v>
      </c>
      <c r="O6" s="17">
        <v>115</v>
      </c>
      <c r="P6" s="24">
        <v>0.35</v>
      </c>
      <c r="Q6" s="24">
        <v>0.3</v>
      </c>
      <c r="R6" s="24">
        <v>0.62</v>
      </c>
      <c r="S6" s="24">
        <v>1.25</v>
      </c>
      <c r="T6" s="17" t="s">
        <v>355</v>
      </c>
      <c r="U6" s="17" t="s">
        <v>358</v>
      </c>
      <c r="V6" s="17" t="s">
        <v>359</v>
      </c>
      <c r="W6" s="17" t="s">
        <v>353</v>
      </c>
    </row>
    <row r="7" spans="1:23" ht="27">
      <c r="A7" s="13">
        <v>4</v>
      </c>
      <c r="B7" s="14" t="s">
        <v>121</v>
      </c>
      <c r="C7" s="15" t="s">
        <v>80</v>
      </c>
      <c r="D7" s="16" t="s">
        <v>116</v>
      </c>
      <c r="E7" s="17">
        <v>14</v>
      </c>
      <c r="F7" s="17" t="s">
        <v>122</v>
      </c>
      <c r="G7" s="17" t="s">
        <v>259</v>
      </c>
      <c r="H7" s="17" t="s">
        <v>364</v>
      </c>
      <c r="I7" s="17" t="s">
        <v>363</v>
      </c>
      <c r="J7" s="17">
        <v>116</v>
      </c>
      <c r="K7" s="17">
        <v>64</v>
      </c>
      <c r="L7" s="17">
        <v>52</v>
      </c>
      <c r="M7" s="17">
        <v>104</v>
      </c>
      <c r="N7" s="17">
        <v>25</v>
      </c>
      <c r="O7" s="17">
        <v>57</v>
      </c>
      <c r="P7" s="24">
        <v>0.375</v>
      </c>
      <c r="Q7" s="24">
        <v>0.3</v>
      </c>
      <c r="R7" s="24">
        <v>0.62</v>
      </c>
      <c r="S7" s="24">
        <v>1.25</v>
      </c>
      <c r="T7" s="17" t="s">
        <v>361</v>
      </c>
      <c r="U7" s="17" t="s">
        <v>362</v>
      </c>
      <c r="V7" s="17" t="s">
        <v>352</v>
      </c>
      <c r="W7" s="17" t="s">
        <v>353</v>
      </c>
    </row>
    <row r="8" spans="1:23" ht="54">
      <c r="A8" s="13">
        <v>5</v>
      </c>
      <c r="B8" s="14" t="s">
        <v>123</v>
      </c>
      <c r="C8" s="15" t="s">
        <v>80</v>
      </c>
      <c r="D8" s="16" t="s">
        <v>116</v>
      </c>
      <c r="E8" s="17">
        <v>13</v>
      </c>
      <c r="F8" s="17" t="s">
        <v>117</v>
      </c>
      <c r="G8" s="17" t="s">
        <v>260</v>
      </c>
      <c r="H8" s="17" t="s">
        <v>344</v>
      </c>
      <c r="I8" s="17" t="s">
        <v>367</v>
      </c>
      <c r="J8" s="17">
        <v>75</v>
      </c>
      <c r="K8" s="17">
        <v>18</v>
      </c>
      <c r="L8" s="17">
        <v>88</v>
      </c>
      <c r="M8" s="17">
        <v>69</v>
      </c>
      <c r="N8" s="17">
        <v>88</v>
      </c>
      <c r="O8" s="17">
        <v>43</v>
      </c>
      <c r="P8" s="24">
        <v>0.40400000000000003</v>
      </c>
      <c r="Q8" s="24">
        <v>0.3</v>
      </c>
      <c r="R8" s="24">
        <v>0.62</v>
      </c>
      <c r="S8" s="24">
        <v>1.25</v>
      </c>
      <c r="T8" s="17" t="s">
        <v>365</v>
      </c>
      <c r="U8" s="17" t="s">
        <v>354</v>
      </c>
      <c r="V8" s="17" t="s">
        <v>366</v>
      </c>
      <c r="W8" s="17" t="s">
        <v>353</v>
      </c>
    </row>
    <row r="9" spans="1:23" ht="54">
      <c r="A9" s="13">
        <v>6</v>
      </c>
      <c r="B9" s="14" t="s">
        <v>124</v>
      </c>
      <c r="C9" s="18" t="s">
        <v>84</v>
      </c>
      <c r="D9" s="16" t="s">
        <v>116</v>
      </c>
      <c r="E9" s="17">
        <v>13</v>
      </c>
      <c r="F9" s="17" t="s">
        <v>117</v>
      </c>
      <c r="G9" s="17" t="s">
        <v>261</v>
      </c>
      <c r="H9" s="17" t="s">
        <v>344</v>
      </c>
      <c r="I9" s="17" t="s">
        <v>369</v>
      </c>
      <c r="J9" s="17">
        <v>139</v>
      </c>
      <c r="K9" s="17">
        <v>69</v>
      </c>
      <c r="L9" s="17">
        <v>99</v>
      </c>
      <c r="M9" s="17">
        <v>65</v>
      </c>
      <c r="N9" s="17">
        <v>98</v>
      </c>
      <c r="O9" s="17">
        <v>90</v>
      </c>
      <c r="P9" s="24">
        <v>0.28499999999999998</v>
      </c>
      <c r="Q9" s="24">
        <v>0.15</v>
      </c>
      <c r="R9" s="24">
        <v>0.31</v>
      </c>
      <c r="S9" s="24">
        <v>0.625</v>
      </c>
      <c r="T9" s="17" t="s">
        <v>268</v>
      </c>
      <c r="U9" s="17" t="s">
        <v>354</v>
      </c>
      <c r="V9" s="17" t="s">
        <v>368</v>
      </c>
      <c r="W9" s="17" t="s">
        <v>353</v>
      </c>
    </row>
    <row r="10" spans="1:23" ht="40.5">
      <c r="A10" s="13">
        <v>7</v>
      </c>
      <c r="B10" s="14" t="s">
        <v>125</v>
      </c>
      <c r="C10" s="18" t="s">
        <v>84</v>
      </c>
      <c r="D10" s="16" t="s">
        <v>116</v>
      </c>
      <c r="E10" s="17">
        <v>18</v>
      </c>
      <c r="F10" s="17" t="s">
        <v>117</v>
      </c>
      <c r="G10" s="17" t="s">
        <v>262</v>
      </c>
      <c r="H10" s="17" t="s">
        <v>344</v>
      </c>
      <c r="I10" s="17" t="s">
        <v>374</v>
      </c>
      <c r="J10" s="17">
        <v>122</v>
      </c>
      <c r="K10" s="17">
        <v>46</v>
      </c>
      <c r="L10" s="17">
        <v>76</v>
      </c>
      <c r="M10" s="17">
        <v>82</v>
      </c>
      <c r="N10" s="17">
        <v>62</v>
      </c>
      <c r="O10" s="17">
        <v>67</v>
      </c>
      <c r="P10" s="24">
        <v>0.20599999999999999</v>
      </c>
      <c r="Q10" s="24">
        <v>0.15</v>
      </c>
      <c r="R10" s="24">
        <v>0.31</v>
      </c>
      <c r="S10" s="24">
        <v>0.625</v>
      </c>
      <c r="T10" s="17" t="s">
        <v>370</v>
      </c>
      <c r="U10" s="17" t="s">
        <v>371</v>
      </c>
      <c r="V10" s="17" t="s">
        <v>372</v>
      </c>
      <c r="W10" s="17" t="s">
        <v>373</v>
      </c>
    </row>
    <row r="11" spans="1:23" ht="40.5">
      <c r="A11" s="13">
        <v>8</v>
      </c>
      <c r="B11" s="14" t="s">
        <v>78</v>
      </c>
      <c r="C11" s="15" t="s">
        <v>80</v>
      </c>
      <c r="D11" s="16" t="s">
        <v>116</v>
      </c>
      <c r="E11" s="17">
        <v>13</v>
      </c>
      <c r="F11" s="17" t="s">
        <v>117</v>
      </c>
      <c r="G11" s="17" t="s">
        <v>77</v>
      </c>
      <c r="H11" s="17" t="s">
        <v>344</v>
      </c>
      <c r="I11" s="17" t="s">
        <v>378</v>
      </c>
      <c r="J11" s="17">
        <v>69</v>
      </c>
      <c r="K11" s="17">
        <v>34</v>
      </c>
      <c r="L11" s="17">
        <v>76</v>
      </c>
      <c r="M11" s="17">
        <v>62</v>
      </c>
      <c r="N11" s="17">
        <v>166</v>
      </c>
      <c r="O11" s="17">
        <v>48</v>
      </c>
      <c r="P11" s="24">
        <v>0.40400000000000003</v>
      </c>
      <c r="Q11" s="24">
        <v>0.3</v>
      </c>
      <c r="R11" s="24">
        <v>0.62</v>
      </c>
      <c r="S11" s="24">
        <v>1.25</v>
      </c>
      <c r="T11" s="17" t="s">
        <v>355</v>
      </c>
      <c r="U11" s="17" t="s">
        <v>375</v>
      </c>
      <c r="V11" s="17" t="s">
        <v>376</v>
      </c>
      <c r="W11" s="17" t="s">
        <v>377</v>
      </c>
    </row>
    <row r="12" spans="1:23" ht="54">
      <c r="A12" s="13">
        <v>9</v>
      </c>
      <c r="B12" s="14" t="s">
        <v>126</v>
      </c>
      <c r="C12" s="15" t="s">
        <v>80</v>
      </c>
      <c r="D12" s="16" t="s">
        <v>116</v>
      </c>
      <c r="E12" s="17">
        <v>13</v>
      </c>
      <c r="F12" s="17" t="s">
        <v>117</v>
      </c>
      <c r="G12" s="17" t="s">
        <v>263</v>
      </c>
      <c r="H12" s="17" t="s">
        <v>357</v>
      </c>
      <c r="I12" s="17" t="s">
        <v>381</v>
      </c>
      <c r="J12" s="17">
        <v>124</v>
      </c>
      <c r="K12" s="17">
        <v>41</v>
      </c>
      <c r="L12" s="17">
        <v>71</v>
      </c>
      <c r="M12" s="17">
        <v>54</v>
      </c>
      <c r="N12" s="17">
        <v>60</v>
      </c>
      <c r="O12" s="17">
        <v>54</v>
      </c>
      <c r="P12" s="24">
        <v>0.40400000000000003</v>
      </c>
      <c r="Q12" s="24">
        <v>0.3</v>
      </c>
      <c r="R12" s="24">
        <v>0.62</v>
      </c>
      <c r="S12" s="24">
        <v>1.25</v>
      </c>
      <c r="T12" s="17" t="s">
        <v>355</v>
      </c>
      <c r="U12" s="17" t="s">
        <v>379</v>
      </c>
      <c r="V12" s="17" t="s">
        <v>380</v>
      </c>
      <c r="W12" s="17" t="s">
        <v>377</v>
      </c>
    </row>
    <row r="13" spans="1:23" ht="67.5">
      <c r="A13" s="13">
        <v>10</v>
      </c>
      <c r="B13" s="14" t="s">
        <v>82</v>
      </c>
      <c r="C13" s="15" t="s">
        <v>80</v>
      </c>
      <c r="D13" s="16" t="s">
        <v>116</v>
      </c>
      <c r="E13" s="17">
        <v>14</v>
      </c>
      <c r="F13" s="17" t="s">
        <v>117</v>
      </c>
      <c r="G13" s="17" t="s">
        <v>264</v>
      </c>
      <c r="H13" s="17" t="s">
        <v>357</v>
      </c>
      <c r="I13" s="17" t="s">
        <v>384</v>
      </c>
      <c r="J13" s="17">
        <v>134</v>
      </c>
      <c r="K13" s="17">
        <v>47</v>
      </c>
      <c r="L13" s="17">
        <v>85</v>
      </c>
      <c r="M13" s="17">
        <v>75</v>
      </c>
      <c r="N13" s="17">
        <v>61</v>
      </c>
      <c r="O13" s="17">
        <v>61</v>
      </c>
      <c r="P13" s="24">
        <v>0.375</v>
      </c>
      <c r="Q13" s="24">
        <v>0.3</v>
      </c>
      <c r="R13" s="24">
        <v>0.62</v>
      </c>
      <c r="S13" s="24">
        <v>1.25</v>
      </c>
      <c r="T13" s="17" t="s">
        <v>355</v>
      </c>
      <c r="U13" s="17" t="s">
        <v>382</v>
      </c>
      <c r="V13" s="17" t="s">
        <v>383</v>
      </c>
      <c r="W13" s="17" t="s">
        <v>377</v>
      </c>
    </row>
    <row r="14" spans="1:23" ht="40.5">
      <c r="A14" s="13">
        <v>11</v>
      </c>
      <c r="B14" s="14" t="s">
        <v>127</v>
      </c>
      <c r="C14" s="15" t="s">
        <v>80</v>
      </c>
      <c r="D14" s="16" t="s">
        <v>116</v>
      </c>
      <c r="E14" s="17">
        <v>13</v>
      </c>
      <c r="F14" s="17" t="s">
        <v>117</v>
      </c>
      <c r="G14" s="17" t="s">
        <v>65</v>
      </c>
      <c r="H14" s="17" t="s">
        <v>344</v>
      </c>
      <c r="I14" s="17" t="s">
        <v>374</v>
      </c>
      <c r="J14" s="17">
        <v>102</v>
      </c>
      <c r="K14" s="17">
        <v>25</v>
      </c>
      <c r="L14" s="17">
        <v>65</v>
      </c>
      <c r="M14" s="17">
        <v>68</v>
      </c>
      <c r="N14" s="17">
        <v>72</v>
      </c>
      <c r="O14" s="17">
        <v>55</v>
      </c>
      <c r="P14" s="24">
        <v>0.40400000000000003</v>
      </c>
      <c r="Q14" s="24">
        <v>0.3</v>
      </c>
      <c r="R14" s="24">
        <v>0.62</v>
      </c>
      <c r="S14" s="24">
        <v>1.25</v>
      </c>
      <c r="T14" s="17" t="s">
        <v>385</v>
      </c>
      <c r="U14" s="17" t="s">
        <v>386</v>
      </c>
      <c r="V14" s="17" t="s">
        <v>387</v>
      </c>
      <c r="W14" s="17" t="s">
        <v>377</v>
      </c>
    </row>
    <row r="15" spans="1:23" ht="27">
      <c r="A15" s="13">
        <v>12</v>
      </c>
      <c r="B15" s="14" t="s">
        <v>128</v>
      </c>
      <c r="C15" s="15" t="s">
        <v>80</v>
      </c>
      <c r="D15" s="16" t="s">
        <v>116</v>
      </c>
      <c r="E15" s="17">
        <v>14</v>
      </c>
      <c r="F15" s="17" t="s">
        <v>117</v>
      </c>
      <c r="G15" s="17" t="s">
        <v>265</v>
      </c>
      <c r="H15" s="17" t="s">
        <v>344</v>
      </c>
      <c r="I15" s="17" t="s">
        <v>391</v>
      </c>
      <c r="J15" s="17">
        <v>96</v>
      </c>
      <c r="K15" s="17">
        <v>29</v>
      </c>
      <c r="L15" s="17">
        <v>94</v>
      </c>
      <c r="M15" s="17">
        <v>75</v>
      </c>
      <c r="N15" s="17">
        <v>72</v>
      </c>
      <c r="O15" s="17">
        <v>35</v>
      </c>
      <c r="P15" s="24">
        <v>0.375</v>
      </c>
      <c r="Q15" s="24">
        <v>0.3</v>
      </c>
      <c r="R15" s="24">
        <v>0.62</v>
      </c>
      <c r="S15" s="24">
        <v>1.25</v>
      </c>
      <c r="T15" s="17" t="s">
        <v>355</v>
      </c>
      <c r="U15" s="17" t="s">
        <v>388</v>
      </c>
      <c r="V15" s="17" t="s">
        <v>389</v>
      </c>
      <c r="W15" s="17" t="s">
        <v>390</v>
      </c>
    </row>
    <row r="16" spans="1:23" ht="40.5">
      <c r="A16" s="13">
        <v>13</v>
      </c>
      <c r="B16" s="14" t="s">
        <v>83</v>
      </c>
      <c r="C16" s="18" t="s">
        <v>84</v>
      </c>
      <c r="D16" s="16" t="s">
        <v>116</v>
      </c>
      <c r="E16" s="17">
        <v>17</v>
      </c>
      <c r="F16" s="17" t="s">
        <v>72</v>
      </c>
      <c r="G16" s="17" t="s">
        <v>73</v>
      </c>
      <c r="H16" s="17" t="s">
        <v>357</v>
      </c>
      <c r="I16" s="17" t="s">
        <v>395</v>
      </c>
      <c r="J16" s="17">
        <v>97</v>
      </c>
      <c r="K16" s="17">
        <v>47</v>
      </c>
      <c r="L16" s="17">
        <v>95</v>
      </c>
      <c r="M16" s="17">
        <v>79</v>
      </c>
      <c r="N16" s="17">
        <v>191</v>
      </c>
      <c r="O16" s="17">
        <v>69</v>
      </c>
      <c r="P16" s="24">
        <v>0.218</v>
      </c>
      <c r="Q16" s="24">
        <v>0.15</v>
      </c>
      <c r="R16" s="24">
        <v>0.31</v>
      </c>
      <c r="S16" s="24">
        <v>0.625</v>
      </c>
      <c r="T16" s="17" t="s">
        <v>355</v>
      </c>
      <c r="U16" s="17" t="s">
        <v>392</v>
      </c>
      <c r="V16" s="17" t="s">
        <v>393</v>
      </c>
      <c r="W16" s="17" t="s">
        <v>394</v>
      </c>
    </row>
    <row r="17" spans="1:23" ht="54">
      <c r="A17" s="13">
        <v>14</v>
      </c>
      <c r="B17" s="14" t="s">
        <v>129</v>
      </c>
      <c r="C17" s="15" t="s">
        <v>80</v>
      </c>
      <c r="D17" s="16" t="s">
        <v>116</v>
      </c>
      <c r="E17" s="17">
        <v>11</v>
      </c>
      <c r="F17" s="17" t="s">
        <v>117</v>
      </c>
      <c r="G17" s="17" t="s">
        <v>266</v>
      </c>
      <c r="H17" s="17" t="s">
        <v>344</v>
      </c>
      <c r="I17" s="17" t="s">
        <v>399</v>
      </c>
      <c r="J17" s="17">
        <v>117</v>
      </c>
      <c r="K17" s="17">
        <v>29</v>
      </c>
      <c r="L17" s="17">
        <v>82</v>
      </c>
      <c r="M17" s="17">
        <v>54</v>
      </c>
      <c r="N17" s="17">
        <v>76</v>
      </c>
      <c r="O17" s="17">
        <v>20</v>
      </c>
      <c r="P17" s="24">
        <v>0.47699999999999998</v>
      </c>
      <c r="Q17" s="24">
        <v>0.3</v>
      </c>
      <c r="R17" s="24">
        <v>0.62</v>
      </c>
      <c r="S17" s="24">
        <v>1.25</v>
      </c>
      <c r="T17" s="17" t="s">
        <v>280</v>
      </c>
      <c r="U17" s="17" t="s">
        <v>396</v>
      </c>
      <c r="V17" s="17" t="s">
        <v>397</v>
      </c>
      <c r="W17" s="17" t="s">
        <v>398</v>
      </c>
    </row>
    <row r="18" spans="1:23" ht="40.5">
      <c r="A18" s="13">
        <v>15</v>
      </c>
      <c r="B18" s="14" t="s">
        <v>130</v>
      </c>
      <c r="C18" s="15" t="s">
        <v>80</v>
      </c>
      <c r="D18" s="19" t="s">
        <v>131</v>
      </c>
      <c r="E18" s="17">
        <v>16</v>
      </c>
      <c r="F18" s="17" t="s">
        <v>117</v>
      </c>
      <c r="G18" s="17" t="s">
        <v>267</v>
      </c>
      <c r="H18" s="17" t="s">
        <v>344</v>
      </c>
      <c r="I18" s="17" t="s">
        <v>403</v>
      </c>
      <c r="J18" s="17">
        <v>92</v>
      </c>
      <c r="K18" s="17">
        <v>41</v>
      </c>
      <c r="L18" s="17">
        <v>96</v>
      </c>
      <c r="M18" s="17">
        <v>88</v>
      </c>
      <c r="N18" s="17">
        <v>154</v>
      </c>
      <c r="O18" s="17">
        <v>135</v>
      </c>
      <c r="P18" s="24">
        <v>0.32800000000000001</v>
      </c>
      <c r="Q18" s="24">
        <v>0.3</v>
      </c>
      <c r="R18" s="24">
        <v>0.62</v>
      </c>
      <c r="S18" s="24">
        <v>1.25</v>
      </c>
      <c r="T18" s="17" t="s">
        <v>355</v>
      </c>
      <c r="U18" s="17" t="s">
        <v>400</v>
      </c>
      <c r="V18" s="17" t="s">
        <v>401</v>
      </c>
      <c r="W18" s="17" t="s">
        <v>402</v>
      </c>
    </row>
    <row r="19" spans="1:23" ht="27">
      <c r="A19" s="13">
        <v>16</v>
      </c>
      <c r="B19" s="14" t="s">
        <v>88</v>
      </c>
      <c r="C19" s="15" t="s">
        <v>80</v>
      </c>
      <c r="D19" s="19" t="s">
        <v>131</v>
      </c>
      <c r="E19" s="17">
        <v>15</v>
      </c>
      <c r="F19" s="17" t="s">
        <v>87</v>
      </c>
      <c r="G19" s="17" t="s">
        <v>268</v>
      </c>
      <c r="H19" s="17" t="s">
        <v>357</v>
      </c>
      <c r="I19" s="17" t="s">
        <v>406</v>
      </c>
      <c r="J19" s="17">
        <v>172</v>
      </c>
      <c r="K19" s="17">
        <v>67</v>
      </c>
      <c r="L19" s="17">
        <v>57</v>
      </c>
      <c r="M19" s="17">
        <v>64</v>
      </c>
      <c r="N19" s="17">
        <v>83</v>
      </c>
      <c r="O19" s="17">
        <v>104</v>
      </c>
      <c r="P19" s="24">
        <v>0.35</v>
      </c>
      <c r="Q19" s="24">
        <v>0.3</v>
      </c>
      <c r="R19" s="24">
        <v>0.62</v>
      </c>
      <c r="S19" s="24">
        <v>1.25</v>
      </c>
      <c r="T19" s="17" t="s">
        <v>355</v>
      </c>
      <c r="U19" s="17" t="s">
        <v>404</v>
      </c>
      <c r="V19" s="17" t="s">
        <v>405</v>
      </c>
      <c r="W19" s="17" t="s">
        <v>402</v>
      </c>
    </row>
    <row r="20" spans="1:23" ht="54">
      <c r="A20" s="13">
        <v>17</v>
      </c>
      <c r="B20" s="14" t="s">
        <v>89</v>
      </c>
      <c r="C20" s="15" t="s">
        <v>80</v>
      </c>
      <c r="D20" s="16" t="s">
        <v>116</v>
      </c>
      <c r="E20" s="17">
        <v>14</v>
      </c>
      <c r="F20" s="17" t="s">
        <v>117</v>
      </c>
      <c r="G20" s="17" t="s">
        <v>269</v>
      </c>
      <c r="H20" s="17" t="s">
        <v>344</v>
      </c>
      <c r="I20" s="17" t="s">
        <v>90</v>
      </c>
      <c r="J20" s="17">
        <v>109</v>
      </c>
      <c r="K20" s="17">
        <v>20</v>
      </c>
      <c r="L20" s="17">
        <v>109</v>
      </c>
      <c r="M20" s="17">
        <v>27</v>
      </c>
      <c r="N20" s="17">
        <v>47</v>
      </c>
      <c r="O20" s="17">
        <v>14</v>
      </c>
      <c r="P20" s="24">
        <v>0.375</v>
      </c>
      <c r="Q20" s="24">
        <v>0.3</v>
      </c>
      <c r="R20" s="24">
        <v>0.62</v>
      </c>
      <c r="S20" s="24">
        <v>1.25</v>
      </c>
      <c r="T20" s="17" t="s">
        <v>263</v>
      </c>
      <c r="U20" s="17" t="s">
        <v>407</v>
      </c>
      <c r="V20" s="17" t="s">
        <v>397</v>
      </c>
      <c r="W20" s="17" t="s">
        <v>402</v>
      </c>
    </row>
    <row r="21" spans="1:23" ht="27">
      <c r="A21" s="13">
        <v>18</v>
      </c>
      <c r="B21" s="14" t="s">
        <v>75</v>
      </c>
      <c r="C21" s="15" t="s">
        <v>80</v>
      </c>
      <c r="D21" s="20" t="s">
        <v>132</v>
      </c>
      <c r="E21" s="17">
        <v>15</v>
      </c>
      <c r="F21" s="17" t="s">
        <v>117</v>
      </c>
      <c r="G21" s="17" t="s">
        <v>65</v>
      </c>
      <c r="H21" s="17" t="s">
        <v>344</v>
      </c>
      <c r="I21" s="17" t="s">
        <v>95</v>
      </c>
      <c r="J21" s="17">
        <v>77</v>
      </c>
      <c r="K21" s="17">
        <v>63</v>
      </c>
      <c r="L21" s="17">
        <v>78</v>
      </c>
      <c r="M21" s="17">
        <v>46</v>
      </c>
      <c r="N21" s="17">
        <v>120</v>
      </c>
      <c r="O21" s="17">
        <v>94</v>
      </c>
      <c r="P21" s="24">
        <v>0.35</v>
      </c>
      <c r="Q21" s="24">
        <v>0.3</v>
      </c>
      <c r="R21" s="24">
        <v>0.62</v>
      </c>
      <c r="S21" s="24">
        <v>1.25</v>
      </c>
      <c r="T21" s="17" t="s">
        <v>355</v>
      </c>
      <c r="U21" s="17" t="s">
        <v>408</v>
      </c>
      <c r="V21" s="17" t="s">
        <v>397</v>
      </c>
      <c r="W21" s="17" t="s">
        <v>409</v>
      </c>
    </row>
    <row r="22" spans="1:23" ht="40.5">
      <c r="A22" s="13">
        <v>19</v>
      </c>
      <c r="B22" s="14" t="s">
        <v>91</v>
      </c>
      <c r="C22" s="15" t="s">
        <v>80</v>
      </c>
      <c r="D22" s="16" t="s">
        <v>116</v>
      </c>
      <c r="E22" s="17">
        <v>14</v>
      </c>
      <c r="F22" s="17" t="s">
        <v>117</v>
      </c>
      <c r="G22" s="17" t="s">
        <v>782</v>
      </c>
      <c r="H22" s="17" t="s">
        <v>344</v>
      </c>
      <c r="I22" s="17" t="s">
        <v>92</v>
      </c>
      <c r="J22" s="17">
        <v>136</v>
      </c>
      <c r="K22" s="17">
        <v>90</v>
      </c>
      <c r="L22" s="17">
        <v>69</v>
      </c>
      <c r="M22" s="17">
        <v>37</v>
      </c>
      <c r="N22" s="17">
        <v>58</v>
      </c>
      <c r="O22" s="17">
        <v>93</v>
      </c>
      <c r="P22" s="24">
        <v>0.375</v>
      </c>
      <c r="Q22" s="24">
        <v>0.3</v>
      </c>
      <c r="R22" s="24">
        <v>0.62</v>
      </c>
      <c r="S22" s="24">
        <v>1.25</v>
      </c>
      <c r="T22" s="17" t="s">
        <v>355</v>
      </c>
      <c r="U22" s="17" t="s">
        <v>410</v>
      </c>
      <c r="V22" s="17" t="s">
        <v>397</v>
      </c>
      <c r="W22" s="17" t="s">
        <v>402</v>
      </c>
    </row>
    <row r="23" spans="1:23" ht="40.5">
      <c r="A23" s="13">
        <v>20</v>
      </c>
      <c r="B23" s="14" t="s">
        <v>133</v>
      </c>
      <c r="C23" s="15" t="s">
        <v>80</v>
      </c>
      <c r="D23" s="16" t="s">
        <v>116</v>
      </c>
      <c r="E23" s="17">
        <v>13</v>
      </c>
      <c r="F23" s="17" t="s">
        <v>134</v>
      </c>
      <c r="G23" s="17" t="s">
        <v>270</v>
      </c>
      <c r="H23" s="17" t="s">
        <v>344</v>
      </c>
      <c r="I23" s="17" t="s">
        <v>412</v>
      </c>
      <c r="J23" s="17">
        <v>123</v>
      </c>
      <c r="K23" s="17">
        <v>25</v>
      </c>
      <c r="L23" s="17">
        <v>71</v>
      </c>
      <c r="M23" s="17">
        <v>71</v>
      </c>
      <c r="N23" s="17">
        <v>64</v>
      </c>
      <c r="O23" s="17">
        <v>45</v>
      </c>
      <c r="P23" s="24">
        <v>0.40400000000000003</v>
      </c>
      <c r="Q23" s="24">
        <v>0.3</v>
      </c>
      <c r="R23" s="24">
        <v>0.62</v>
      </c>
      <c r="S23" s="24">
        <v>1.25</v>
      </c>
      <c r="T23" s="17" t="s">
        <v>355</v>
      </c>
      <c r="U23" s="17" t="s">
        <v>411</v>
      </c>
      <c r="V23" s="17" t="s">
        <v>397</v>
      </c>
      <c r="W23" s="17" t="s">
        <v>402</v>
      </c>
    </row>
    <row r="24" spans="1:23" ht="27">
      <c r="A24" s="13">
        <v>21</v>
      </c>
      <c r="B24" s="14" t="s">
        <v>135</v>
      </c>
      <c r="C24" s="15" t="s">
        <v>80</v>
      </c>
      <c r="D24" s="16" t="s">
        <v>116</v>
      </c>
      <c r="E24" s="17">
        <v>11</v>
      </c>
      <c r="F24" s="17" t="s">
        <v>136</v>
      </c>
      <c r="G24" s="17" t="s">
        <v>271</v>
      </c>
      <c r="H24" s="17" t="s">
        <v>357</v>
      </c>
      <c r="I24" s="17" t="s">
        <v>417</v>
      </c>
      <c r="J24" s="17">
        <v>83</v>
      </c>
      <c r="K24" s="17">
        <v>48</v>
      </c>
      <c r="L24" s="17">
        <v>69</v>
      </c>
      <c r="M24" s="17">
        <v>69</v>
      </c>
      <c r="N24" s="17">
        <v>138</v>
      </c>
      <c r="O24" s="17">
        <v>96</v>
      </c>
      <c r="P24" s="24">
        <v>0.47699999999999998</v>
      </c>
      <c r="Q24" s="24">
        <v>0.3</v>
      </c>
      <c r="R24" s="24">
        <v>0.62</v>
      </c>
      <c r="S24" s="24">
        <v>1.25</v>
      </c>
      <c r="T24" s="17" t="s">
        <v>413</v>
      </c>
      <c r="U24" s="17" t="s">
        <v>414</v>
      </c>
      <c r="V24" s="17" t="s">
        <v>415</v>
      </c>
      <c r="W24" s="17" t="s">
        <v>416</v>
      </c>
    </row>
    <row r="25" spans="1:23">
      <c r="A25" s="13">
        <v>22</v>
      </c>
      <c r="B25" s="14" t="s">
        <v>137</v>
      </c>
      <c r="C25" s="15" t="s">
        <v>80</v>
      </c>
      <c r="D25" s="16" t="s">
        <v>116</v>
      </c>
      <c r="E25" s="17">
        <v>13</v>
      </c>
      <c r="F25" s="17" t="s">
        <v>117</v>
      </c>
      <c r="G25" s="17" t="s">
        <v>272</v>
      </c>
      <c r="H25" s="17" t="s">
        <v>344</v>
      </c>
      <c r="I25" s="17" t="s">
        <v>421</v>
      </c>
      <c r="J25" s="17">
        <v>66</v>
      </c>
      <c r="K25" s="17">
        <v>12</v>
      </c>
      <c r="L25" s="17">
        <v>62</v>
      </c>
      <c r="M25" s="17">
        <v>92</v>
      </c>
      <c r="N25" s="17">
        <v>60</v>
      </c>
      <c r="O25" s="17">
        <v>77</v>
      </c>
      <c r="P25" s="24">
        <v>0.40400000000000003</v>
      </c>
      <c r="Q25" s="24">
        <v>0.3</v>
      </c>
      <c r="R25" s="24">
        <v>0.62</v>
      </c>
      <c r="S25" s="24">
        <v>1.25</v>
      </c>
      <c r="T25" s="17" t="s">
        <v>418</v>
      </c>
      <c r="U25" s="17" t="s">
        <v>419</v>
      </c>
      <c r="V25" s="17" t="s">
        <v>420</v>
      </c>
      <c r="W25" s="17" t="s">
        <v>416</v>
      </c>
    </row>
    <row r="26" spans="1:23" ht="27">
      <c r="A26" s="13">
        <v>23</v>
      </c>
      <c r="B26" s="14" t="s">
        <v>138</v>
      </c>
      <c r="C26" s="15" t="s">
        <v>80</v>
      </c>
      <c r="D26" s="16" t="s">
        <v>116</v>
      </c>
      <c r="E26" s="17">
        <v>13</v>
      </c>
      <c r="F26" s="17" t="s">
        <v>117</v>
      </c>
      <c r="G26" s="17" t="s">
        <v>273</v>
      </c>
      <c r="H26" s="17" t="s">
        <v>344</v>
      </c>
      <c r="I26" s="17" t="s">
        <v>426</v>
      </c>
      <c r="J26" s="17">
        <v>119</v>
      </c>
      <c r="K26" s="17">
        <v>41</v>
      </c>
      <c r="L26" s="17">
        <v>78</v>
      </c>
      <c r="M26" s="17">
        <v>59</v>
      </c>
      <c r="N26" s="17">
        <v>65</v>
      </c>
      <c r="O26" s="17">
        <v>59</v>
      </c>
      <c r="P26" s="24">
        <v>0.40400000000000003</v>
      </c>
      <c r="Q26" s="24">
        <v>0.3</v>
      </c>
      <c r="R26" s="24">
        <v>0.62</v>
      </c>
      <c r="S26" s="24">
        <v>1.25</v>
      </c>
      <c r="T26" s="17" t="s">
        <v>385</v>
      </c>
      <c r="U26" s="17" t="s">
        <v>422</v>
      </c>
      <c r="V26" s="17" t="s">
        <v>424</v>
      </c>
      <c r="W26" s="17" t="s">
        <v>425</v>
      </c>
    </row>
    <row r="27" spans="1:23" ht="27">
      <c r="A27" s="13">
        <v>24</v>
      </c>
      <c r="B27" s="14" t="s">
        <v>93</v>
      </c>
      <c r="C27" s="15" t="s">
        <v>80</v>
      </c>
      <c r="D27" s="20" t="s">
        <v>132</v>
      </c>
      <c r="E27" s="17">
        <v>10</v>
      </c>
      <c r="F27" s="17" t="s">
        <v>117</v>
      </c>
      <c r="G27" s="17" t="s">
        <v>77</v>
      </c>
      <c r="H27" s="17" t="s">
        <v>344</v>
      </c>
      <c r="I27" s="17" t="s">
        <v>428</v>
      </c>
      <c r="J27" s="17">
        <v>25</v>
      </c>
      <c r="K27" s="17">
        <v>51</v>
      </c>
      <c r="L27" s="17">
        <v>89</v>
      </c>
      <c r="M27" s="17">
        <v>51</v>
      </c>
      <c r="N27" s="17">
        <v>83</v>
      </c>
      <c r="O27" s="17">
        <v>83</v>
      </c>
      <c r="P27" s="24">
        <v>0.52500000000000002</v>
      </c>
      <c r="Q27" s="24">
        <v>0.3</v>
      </c>
      <c r="R27" s="24">
        <v>0.62</v>
      </c>
      <c r="S27" s="24">
        <v>1.25</v>
      </c>
      <c r="T27" s="17" t="s">
        <v>355</v>
      </c>
      <c r="U27" s="17" t="s">
        <v>427</v>
      </c>
      <c r="V27" s="17" t="s">
        <v>424</v>
      </c>
      <c r="W27" s="17" t="s">
        <v>425</v>
      </c>
    </row>
    <row r="28" spans="1:23" ht="27">
      <c r="A28" s="13">
        <v>25</v>
      </c>
      <c r="B28" s="14" t="s">
        <v>94</v>
      </c>
      <c r="C28" s="15" t="s">
        <v>80</v>
      </c>
      <c r="D28" s="16" t="s">
        <v>116</v>
      </c>
      <c r="E28" s="17">
        <v>13</v>
      </c>
      <c r="F28" s="17" t="s">
        <v>117</v>
      </c>
      <c r="G28" s="17" t="s">
        <v>71</v>
      </c>
      <c r="H28" s="17" t="s">
        <v>344</v>
      </c>
      <c r="I28" s="17" t="s">
        <v>95</v>
      </c>
      <c r="J28" s="17">
        <v>110</v>
      </c>
      <c r="K28" s="17">
        <v>11</v>
      </c>
      <c r="L28" s="17">
        <v>99</v>
      </c>
      <c r="M28" s="17">
        <v>24</v>
      </c>
      <c r="N28" s="17">
        <v>79</v>
      </c>
      <c r="O28" s="17">
        <v>46</v>
      </c>
      <c r="P28" s="24">
        <v>0.40400000000000003</v>
      </c>
      <c r="Q28" s="24">
        <v>0.3</v>
      </c>
      <c r="R28" s="24">
        <v>0.62</v>
      </c>
      <c r="S28" s="24">
        <v>1.25</v>
      </c>
      <c r="T28" s="17" t="s">
        <v>429</v>
      </c>
      <c r="U28" s="17" t="s">
        <v>422</v>
      </c>
      <c r="V28" s="17" t="s">
        <v>424</v>
      </c>
      <c r="W28" s="17" t="s">
        <v>425</v>
      </c>
    </row>
    <row r="29" spans="1:23" ht="67.5">
      <c r="A29" s="13">
        <v>26</v>
      </c>
      <c r="B29" s="14" t="s">
        <v>96</v>
      </c>
      <c r="C29" s="15" t="s">
        <v>80</v>
      </c>
      <c r="D29" s="19" t="s">
        <v>131</v>
      </c>
      <c r="E29" s="17">
        <v>15</v>
      </c>
      <c r="F29" s="17" t="s">
        <v>66</v>
      </c>
      <c r="G29" s="17" t="s">
        <v>66</v>
      </c>
      <c r="H29" s="17" t="s">
        <v>344</v>
      </c>
      <c r="I29" s="17" t="s">
        <v>374</v>
      </c>
      <c r="J29" s="17">
        <v>144</v>
      </c>
      <c r="K29" s="17">
        <v>66</v>
      </c>
      <c r="L29" s="17">
        <v>55</v>
      </c>
      <c r="M29" s="17">
        <v>82</v>
      </c>
      <c r="N29" s="17">
        <v>82</v>
      </c>
      <c r="O29" s="17">
        <v>68</v>
      </c>
      <c r="P29" s="24">
        <v>0.35</v>
      </c>
      <c r="Q29" s="24">
        <v>0.3</v>
      </c>
      <c r="R29" s="24">
        <v>0.62</v>
      </c>
      <c r="S29" s="24">
        <v>1.25</v>
      </c>
      <c r="T29" s="17" t="s">
        <v>430</v>
      </c>
      <c r="U29" s="17" t="s">
        <v>355</v>
      </c>
      <c r="V29" s="17" t="s">
        <v>431</v>
      </c>
      <c r="W29" s="17" t="s">
        <v>432</v>
      </c>
    </row>
    <row r="30" spans="1:23" ht="54">
      <c r="A30" s="13">
        <v>27</v>
      </c>
      <c r="B30" s="14" t="s">
        <v>139</v>
      </c>
      <c r="C30" s="15" t="s">
        <v>80</v>
      </c>
      <c r="D30" s="16" t="s">
        <v>116</v>
      </c>
      <c r="E30" s="17">
        <v>14</v>
      </c>
      <c r="F30" s="17" t="s">
        <v>140</v>
      </c>
      <c r="G30" s="17" t="s">
        <v>140</v>
      </c>
      <c r="H30" s="17" t="s">
        <v>344</v>
      </c>
      <c r="I30" s="17" t="s">
        <v>435</v>
      </c>
      <c r="J30" s="17">
        <v>138</v>
      </c>
      <c r="K30" s="17">
        <v>44</v>
      </c>
      <c r="L30" s="17">
        <v>68</v>
      </c>
      <c r="M30" s="17">
        <v>70</v>
      </c>
      <c r="N30" s="17">
        <v>66</v>
      </c>
      <c r="O30" s="17">
        <v>59</v>
      </c>
      <c r="P30" s="24">
        <v>0.375</v>
      </c>
      <c r="Q30" s="24">
        <v>0.3</v>
      </c>
      <c r="R30" s="24">
        <v>0.62</v>
      </c>
      <c r="S30" s="24">
        <v>1.25</v>
      </c>
      <c r="T30" s="17" t="s">
        <v>355</v>
      </c>
      <c r="U30" s="17" t="s">
        <v>433</v>
      </c>
      <c r="V30" s="17" t="s">
        <v>434</v>
      </c>
      <c r="W30" s="17" t="s">
        <v>425</v>
      </c>
    </row>
    <row r="31" spans="1:23" ht="27">
      <c r="A31" s="13">
        <v>28</v>
      </c>
      <c r="B31" s="14" t="s">
        <v>97</v>
      </c>
      <c r="C31" s="18" t="s">
        <v>84</v>
      </c>
      <c r="D31" s="19" t="s">
        <v>131</v>
      </c>
      <c r="E31" s="17">
        <v>22</v>
      </c>
      <c r="F31" s="17" t="s">
        <v>68</v>
      </c>
      <c r="G31" s="17" t="s">
        <v>68</v>
      </c>
      <c r="H31" s="17" t="s">
        <v>344</v>
      </c>
      <c r="I31" s="17" t="s">
        <v>437</v>
      </c>
      <c r="J31" s="17">
        <v>109</v>
      </c>
      <c r="K31" s="17">
        <v>70</v>
      </c>
      <c r="L31" s="17">
        <v>87</v>
      </c>
      <c r="M31" s="17">
        <v>76</v>
      </c>
      <c r="N31" s="17">
        <v>109</v>
      </c>
      <c r="O31" s="17">
        <v>98</v>
      </c>
      <c r="P31" s="24">
        <v>0.16900000000000001</v>
      </c>
      <c r="Q31" s="24">
        <v>0.15</v>
      </c>
      <c r="R31" s="24">
        <v>0.31</v>
      </c>
      <c r="S31" s="24">
        <v>0.625</v>
      </c>
      <c r="T31" s="17" t="s">
        <v>355</v>
      </c>
      <c r="U31" s="17" t="s">
        <v>436</v>
      </c>
      <c r="V31" t="s">
        <v>423</v>
      </c>
      <c r="W31" s="17" t="s">
        <v>425</v>
      </c>
    </row>
    <row r="32" spans="1:23" ht="40.5">
      <c r="A32" s="13">
        <v>29</v>
      </c>
      <c r="B32" s="14" t="s">
        <v>98</v>
      </c>
      <c r="C32" s="15" t="s">
        <v>80</v>
      </c>
      <c r="D32" s="19" t="s">
        <v>131</v>
      </c>
      <c r="E32" s="17">
        <v>15</v>
      </c>
      <c r="F32" s="17" t="s">
        <v>87</v>
      </c>
      <c r="G32" s="17" t="s">
        <v>87</v>
      </c>
      <c r="H32" s="17" t="s">
        <v>344</v>
      </c>
      <c r="I32" s="17" t="s">
        <v>441</v>
      </c>
      <c r="J32" s="17">
        <v>159</v>
      </c>
      <c r="K32" s="17">
        <v>159</v>
      </c>
      <c r="L32" s="17">
        <v>55</v>
      </c>
      <c r="M32" s="17">
        <v>82</v>
      </c>
      <c r="N32" s="17">
        <v>103</v>
      </c>
      <c r="O32" s="17">
        <v>145</v>
      </c>
      <c r="P32" s="24">
        <v>0.35</v>
      </c>
      <c r="Q32" s="24">
        <v>0.3</v>
      </c>
      <c r="R32" s="24">
        <v>0.62</v>
      </c>
      <c r="S32" s="24">
        <v>1.25</v>
      </c>
      <c r="T32" s="17" t="s">
        <v>355</v>
      </c>
      <c r="U32" s="17" t="s">
        <v>438</v>
      </c>
      <c r="V32" s="17" t="s">
        <v>439</v>
      </c>
      <c r="W32" s="17" t="s">
        <v>440</v>
      </c>
    </row>
    <row r="33" spans="1:23">
      <c r="A33" s="13">
        <v>30</v>
      </c>
      <c r="B33" s="14" t="s">
        <v>99</v>
      </c>
      <c r="C33" s="15" t="s">
        <v>80</v>
      </c>
      <c r="D33" s="16" t="s">
        <v>116</v>
      </c>
      <c r="E33" s="17">
        <v>14</v>
      </c>
      <c r="F33" s="17" t="s">
        <v>81</v>
      </c>
      <c r="G33" s="17" t="s">
        <v>264</v>
      </c>
      <c r="H33" s="17" t="s">
        <v>344</v>
      </c>
      <c r="I33" s="17" t="s">
        <v>460</v>
      </c>
      <c r="J33" s="17">
        <v>138</v>
      </c>
      <c r="K33" s="17">
        <v>41</v>
      </c>
      <c r="L33" s="17">
        <v>68</v>
      </c>
      <c r="M33" s="17">
        <v>75</v>
      </c>
      <c r="N33" s="17">
        <v>61</v>
      </c>
      <c r="O33" s="17">
        <v>54</v>
      </c>
      <c r="P33" s="24">
        <v>0.375</v>
      </c>
      <c r="Q33" s="24">
        <v>0.3</v>
      </c>
      <c r="R33" s="24">
        <v>0.62</v>
      </c>
      <c r="S33" s="24">
        <v>1.25</v>
      </c>
      <c r="T33" s="17" t="s">
        <v>442</v>
      </c>
      <c r="U33" s="17" t="s">
        <v>443</v>
      </c>
      <c r="V33" s="17" t="s">
        <v>439</v>
      </c>
      <c r="W33" s="17" t="s">
        <v>444</v>
      </c>
    </row>
    <row r="34" spans="1:23" ht="27">
      <c r="A34" s="13">
        <v>31</v>
      </c>
      <c r="B34" s="14" t="s">
        <v>100</v>
      </c>
      <c r="C34" s="15" t="s">
        <v>80</v>
      </c>
      <c r="D34" s="16" t="s">
        <v>116</v>
      </c>
      <c r="E34" s="17">
        <v>13</v>
      </c>
      <c r="F34" s="17" t="s">
        <v>117</v>
      </c>
      <c r="G34" s="17" t="s">
        <v>264</v>
      </c>
      <c r="H34" s="17" t="s">
        <v>344</v>
      </c>
      <c r="I34" s="17" t="s">
        <v>445</v>
      </c>
      <c r="J34" s="17">
        <v>119</v>
      </c>
      <c r="K34" s="17">
        <v>86</v>
      </c>
      <c r="L34" s="17">
        <v>69</v>
      </c>
      <c r="M34" s="17">
        <v>72</v>
      </c>
      <c r="N34" s="17">
        <v>88</v>
      </c>
      <c r="O34" s="17">
        <v>86</v>
      </c>
      <c r="P34" s="24">
        <v>0.40400000000000003</v>
      </c>
      <c r="Q34" s="24">
        <v>0.3</v>
      </c>
      <c r="R34" s="24">
        <v>0.62</v>
      </c>
      <c r="S34" s="24">
        <v>1.25</v>
      </c>
      <c r="T34" s="17" t="s">
        <v>289</v>
      </c>
      <c r="U34" s="17" t="s">
        <v>443</v>
      </c>
      <c r="V34" s="17" t="s">
        <v>439</v>
      </c>
      <c r="W34" s="17" t="s">
        <v>444</v>
      </c>
    </row>
    <row r="35" spans="1:23" ht="40.5">
      <c r="A35" s="13">
        <v>32</v>
      </c>
      <c r="B35" s="14" t="s">
        <v>141</v>
      </c>
      <c r="C35" s="15" t="s">
        <v>80</v>
      </c>
      <c r="D35" s="16" t="s">
        <v>116</v>
      </c>
      <c r="E35" s="17">
        <v>14</v>
      </c>
      <c r="F35" s="17" t="s">
        <v>117</v>
      </c>
      <c r="G35" s="17" t="s">
        <v>274</v>
      </c>
      <c r="H35" s="17" t="s">
        <v>344</v>
      </c>
      <c r="I35" s="17" t="s">
        <v>448</v>
      </c>
      <c r="J35" s="17">
        <v>97</v>
      </c>
      <c r="K35" s="17">
        <v>31</v>
      </c>
      <c r="L35" s="17">
        <v>91</v>
      </c>
      <c r="M35" s="17">
        <v>45</v>
      </c>
      <c r="N35" s="17">
        <v>53</v>
      </c>
      <c r="O35" s="17">
        <v>62</v>
      </c>
      <c r="P35" s="24">
        <v>0.375</v>
      </c>
      <c r="Q35" s="24">
        <v>0.3</v>
      </c>
      <c r="R35" s="24">
        <v>0.62</v>
      </c>
      <c r="S35" s="24">
        <v>1.25</v>
      </c>
      <c r="T35" s="17" t="s">
        <v>355</v>
      </c>
      <c r="U35" s="17" t="s">
        <v>446</v>
      </c>
      <c r="V35" s="17" t="s">
        <v>447</v>
      </c>
      <c r="W35" s="17" t="s">
        <v>444</v>
      </c>
    </row>
    <row r="36" spans="1:23" ht="27">
      <c r="A36" s="13">
        <v>33</v>
      </c>
      <c r="B36" s="14" t="s">
        <v>101</v>
      </c>
      <c r="C36" s="15" t="s">
        <v>80</v>
      </c>
      <c r="D36" s="16" t="s">
        <v>116</v>
      </c>
      <c r="E36" s="17">
        <v>13</v>
      </c>
      <c r="F36" s="17" t="s">
        <v>87</v>
      </c>
      <c r="G36" s="17" t="s">
        <v>268</v>
      </c>
      <c r="H36" s="17" t="s">
        <v>344</v>
      </c>
      <c r="I36" s="17" t="s">
        <v>102</v>
      </c>
      <c r="J36" s="17">
        <v>141</v>
      </c>
      <c r="K36" s="17">
        <v>42</v>
      </c>
      <c r="L36" s="17">
        <v>81</v>
      </c>
      <c r="M36" s="17">
        <v>82</v>
      </c>
      <c r="N36" s="17">
        <v>61</v>
      </c>
      <c r="O36" s="17">
        <v>63</v>
      </c>
      <c r="P36" s="24">
        <v>0.40400000000000003</v>
      </c>
      <c r="Q36" s="24">
        <v>0.3</v>
      </c>
      <c r="R36" s="24">
        <v>0.62</v>
      </c>
      <c r="S36" s="24">
        <v>1.25</v>
      </c>
      <c r="T36" s="17" t="s">
        <v>355</v>
      </c>
      <c r="U36" s="17" t="s">
        <v>449</v>
      </c>
      <c r="V36" s="17" t="s">
        <v>450</v>
      </c>
      <c r="W36" s="17" t="s">
        <v>451</v>
      </c>
    </row>
    <row r="37" spans="1:23" ht="27">
      <c r="A37" s="13">
        <v>34</v>
      </c>
      <c r="B37" s="14" t="s">
        <v>103</v>
      </c>
      <c r="C37" s="18" t="s">
        <v>84</v>
      </c>
      <c r="D37" s="16" t="s">
        <v>116</v>
      </c>
      <c r="E37" s="17">
        <v>19</v>
      </c>
      <c r="F37" s="17" t="s">
        <v>81</v>
      </c>
      <c r="G37" s="17" t="s">
        <v>264</v>
      </c>
      <c r="H37" s="17" t="s">
        <v>344</v>
      </c>
      <c r="I37" s="17" t="s">
        <v>461</v>
      </c>
      <c r="J37" s="17">
        <v>143</v>
      </c>
      <c r="K37" s="17">
        <v>43</v>
      </c>
      <c r="L37" s="17">
        <v>76</v>
      </c>
      <c r="M37" s="17">
        <v>82</v>
      </c>
      <c r="N37" s="17">
        <v>65</v>
      </c>
      <c r="O37" s="17">
        <v>60</v>
      </c>
      <c r="P37" s="24">
        <v>0.19500000000000001</v>
      </c>
      <c r="Q37" s="24">
        <v>0.15</v>
      </c>
      <c r="R37" s="24">
        <v>0.31</v>
      </c>
      <c r="S37" s="24">
        <v>0.625</v>
      </c>
      <c r="T37" s="17" t="s">
        <v>355</v>
      </c>
      <c r="U37" s="17" t="s">
        <v>452</v>
      </c>
      <c r="V37" s="17" t="s">
        <v>453</v>
      </c>
      <c r="W37" s="17" t="s">
        <v>444</v>
      </c>
    </row>
    <row r="38" spans="1:23">
      <c r="A38" s="13">
        <v>35</v>
      </c>
      <c r="B38" s="14" t="s">
        <v>142</v>
      </c>
      <c r="C38" s="18" t="s">
        <v>84</v>
      </c>
      <c r="D38" s="16" t="s">
        <v>116</v>
      </c>
      <c r="E38" s="17">
        <v>20</v>
      </c>
      <c r="F38" s="17" t="s">
        <v>117</v>
      </c>
      <c r="G38" s="17" t="s">
        <v>269</v>
      </c>
      <c r="H38" s="17" t="s">
        <v>344</v>
      </c>
      <c r="I38" s="17" t="s">
        <v>421</v>
      </c>
      <c r="J38" s="17">
        <v>130</v>
      </c>
      <c r="K38" s="17">
        <v>37</v>
      </c>
      <c r="L38" s="17">
        <v>103</v>
      </c>
      <c r="M38" s="17">
        <v>73</v>
      </c>
      <c r="N38" s="17">
        <v>58</v>
      </c>
      <c r="O38" s="17">
        <v>53</v>
      </c>
      <c r="P38" s="24">
        <v>0.185</v>
      </c>
      <c r="Q38" s="24">
        <v>0.15</v>
      </c>
      <c r="R38" s="24">
        <v>0.31</v>
      </c>
      <c r="S38" s="24">
        <v>0.625</v>
      </c>
      <c r="T38" s="17" t="s">
        <v>355</v>
      </c>
      <c r="U38" s="17" t="s">
        <v>454</v>
      </c>
      <c r="V38" s="17" t="s">
        <v>455</v>
      </c>
      <c r="W38" s="17" t="s">
        <v>456</v>
      </c>
    </row>
    <row r="39" spans="1:23">
      <c r="A39" s="13">
        <v>36</v>
      </c>
      <c r="B39" s="14" t="s">
        <v>143</v>
      </c>
      <c r="C39" s="16" t="s">
        <v>144</v>
      </c>
      <c r="D39" s="16" t="s">
        <v>116</v>
      </c>
      <c r="E39" s="17">
        <v>30</v>
      </c>
      <c r="F39" s="17" t="s">
        <v>145</v>
      </c>
      <c r="G39" s="17" t="s">
        <v>258</v>
      </c>
      <c r="H39" s="17" t="s">
        <v>344</v>
      </c>
      <c r="I39" s="17" t="s">
        <v>460</v>
      </c>
      <c r="J39" s="17">
        <v>335</v>
      </c>
      <c r="K39" s="17">
        <v>100</v>
      </c>
      <c r="L39" s="17">
        <v>83</v>
      </c>
      <c r="M39" s="17">
        <v>90</v>
      </c>
      <c r="N39" s="17">
        <v>74</v>
      </c>
      <c r="O39" s="17">
        <v>66</v>
      </c>
      <c r="P39" s="24">
        <v>7.2999999999999995E-2</v>
      </c>
      <c r="Q39" s="24">
        <v>0.09</v>
      </c>
      <c r="R39" s="24">
        <v>0.186</v>
      </c>
      <c r="S39" s="24">
        <v>0.375</v>
      </c>
      <c r="T39" s="17" t="s">
        <v>457</v>
      </c>
      <c r="U39" s="17" t="s">
        <v>458</v>
      </c>
      <c r="V39" s="17" t="s">
        <v>459</v>
      </c>
      <c r="W39" s="17" t="s">
        <v>456</v>
      </c>
    </row>
    <row r="40" spans="1:23" ht="27">
      <c r="A40" s="13">
        <v>37</v>
      </c>
      <c r="B40" s="14" t="s">
        <v>146</v>
      </c>
      <c r="C40" s="18" t="s">
        <v>84</v>
      </c>
      <c r="D40" s="16" t="s">
        <v>116</v>
      </c>
      <c r="E40" s="17">
        <v>19</v>
      </c>
      <c r="F40" s="17" t="s">
        <v>117</v>
      </c>
      <c r="G40" s="17" t="s">
        <v>71</v>
      </c>
      <c r="H40" s="17" t="s">
        <v>364</v>
      </c>
      <c r="I40" s="17" t="s">
        <v>467</v>
      </c>
      <c r="J40" s="17">
        <v>140</v>
      </c>
      <c r="K40" s="17">
        <v>48</v>
      </c>
      <c r="L40" s="17">
        <v>81</v>
      </c>
      <c r="M40" s="17">
        <v>78</v>
      </c>
      <c r="N40" s="17">
        <v>70</v>
      </c>
      <c r="O40" s="17">
        <v>70</v>
      </c>
      <c r="P40" s="24">
        <v>0.19500000000000001</v>
      </c>
      <c r="Q40" s="24">
        <v>0.15</v>
      </c>
      <c r="R40" s="24">
        <v>0.31</v>
      </c>
      <c r="S40" s="24">
        <v>0.625</v>
      </c>
      <c r="T40" s="17" t="s">
        <v>462</v>
      </c>
      <c r="U40" s="17" t="s">
        <v>463</v>
      </c>
      <c r="V40" s="17" t="s">
        <v>464</v>
      </c>
      <c r="W40" s="17" t="s">
        <v>465</v>
      </c>
    </row>
    <row r="41" spans="1:23" ht="40.5">
      <c r="A41" s="13">
        <v>38</v>
      </c>
      <c r="B41" s="14" t="s">
        <v>147</v>
      </c>
      <c r="C41" s="18" t="s">
        <v>84</v>
      </c>
      <c r="D41" s="16" t="s">
        <v>116</v>
      </c>
      <c r="E41" s="17">
        <v>20</v>
      </c>
      <c r="F41" s="17" t="s">
        <v>148</v>
      </c>
      <c r="G41" s="17" t="s">
        <v>148</v>
      </c>
      <c r="H41" s="17" t="s">
        <v>466</v>
      </c>
      <c r="I41" s="17" t="s">
        <v>471</v>
      </c>
      <c r="J41" s="17">
        <v>165</v>
      </c>
      <c r="K41" s="17">
        <v>114</v>
      </c>
      <c r="L41" s="17">
        <v>68</v>
      </c>
      <c r="M41" s="17">
        <v>109</v>
      </c>
      <c r="N41" s="17">
        <v>149</v>
      </c>
      <c r="O41" s="17">
        <v>143</v>
      </c>
      <c r="P41" s="24">
        <v>0.185</v>
      </c>
      <c r="Q41" s="24">
        <v>0.15</v>
      </c>
      <c r="R41" s="24">
        <v>0.31</v>
      </c>
      <c r="S41" s="24">
        <v>0.625</v>
      </c>
      <c r="T41" s="17" t="s">
        <v>472</v>
      </c>
      <c r="U41" s="17" t="s">
        <v>468</v>
      </c>
      <c r="V41" s="17" t="s">
        <v>469</v>
      </c>
      <c r="W41" s="17" t="s">
        <v>470</v>
      </c>
    </row>
    <row r="42" spans="1:23" ht="27">
      <c r="A42" s="13">
        <v>39</v>
      </c>
      <c r="B42" s="14" t="s">
        <v>149</v>
      </c>
      <c r="C42" s="18" t="s">
        <v>84</v>
      </c>
      <c r="D42" s="16" t="s">
        <v>116</v>
      </c>
      <c r="E42" s="17">
        <v>22</v>
      </c>
      <c r="F42" s="17" t="s">
        <v>150</v>
      </c>
      <c r="G42" s="17" t="s">
        <v>275</v>
      </c>
      <c r="H42" s="17" t="s">
        <v>466</v>
      </c>
      <c r="I42" s="17" t="s">
        <v>476</v>
      </c>
      <c r="J42" s="17">
        <v>179</v>
      </c>
      <c r="K42" s="17">
        <v>117</v>
      </c>
      <c r="L42" s="17">
        <v>71</v>
      </c>
      <c r="M42" s="17">
        <v>46</v>
      </c>
      <c r="N42" s="17">
        <v>40</v>
      </c>
      <c r="O42" s="17">
        <v>76</v>
      </c>
      <c r="P42" s="24">
        <v>0.16900000000000001</v>
      </c>
      <c r="Q42" s="24">
        <v>0.15</v>
      </c>
      <c r="R42" s="24">
        <v>0.31</v>
      </c>
      <c r="S42" s="24">
        <v>0.625</v>
      </c>
      <c r="T42" s="17" t="s">
        <v>473</v>
      </c>
      <c r="U42" s="17" t="s">
        <v>474</v>
      </c>
      <c r="V42" s="17" t="s">
        <v>464</v>
      </c>
      <c r="W42" s="17" t="s">
        <v>475</v>
      </c>
    </row>
    <row r="43" spans="1:23" ht="94.5">
      <c r="A43" s="13">
        <v>40</v>
      </c>
      <c r="B43" s="14" t="s">
        <v>151</v>
      </c>
      <c r="C43" s="16" t="s">
        <v>144</v>
      </c>
      <c r="D43" s="16" t="s">
        <v>116</v>
      </c>
      <c r="E43" s="17">
        <v>25</v>
      </c>
      <c r="F43" s="17" t="s">
        <v>87</v>
      </c>
      <c r="G43" s="17" t="s">
        <v>268</v>
      </c>
      <c r="H43" s="17" t="s">
        <v>544</v>
      </c>
      <c r="I43" s="17" t="s">
        <v>480</v>
      </c>
      <c r="J43" s="17">
        <v>22</v>
      </c>
      <c r="K43" s="17">
        <v>51</v>
      </c>
      <c r="L43" s="17">
        <v>86</v>
      </c>
      <c r="M43" s="17">
        <v>499</v>
      </c>
      <c r="N43" s="17">
        <v>311</v>
      </c>
      <c r="O43" s="17">
        <v>24</v>
      </c>
      <c r="P43" s="24">
        <v>8.7999999999999995E-2</v>
      </c>
      <c r="Q43" s="24">
        <v>0.09</v>
      </c>
      <c r="R43" s="24">
        <v>0.186</v>
      </c>
      <c r="S43" s="24">
        <v>0.375</v>
      </c>
      <c r="T43" s="17" t="s">
        <v>477</v>
      </c>
      <c r="U43" s="17" t="s">
        <v>478</v>
      </c>
      <c r="V43" s="17" t="s">
        <v>472</v>
      </c>
      <c r="W43" s="17" t="s">
        <v>479</v>
      </c>
    </row>
    <row r="44" spans="1:23" ht="40.5">
      <c r="A44" s="13">
        <v>41</v>
      </c>
      <c r="B44" s="14" t="s">
        <v>106</v>
      </c>
      <c r="C44" s="15" t="s">
        <v>80</v>
      </c>
      <c r="D44" s="16" t="s">
        <v>116</v>
      </c>
      <c r="E44" s="17">
        <v>14</v>
      </c>
      <c r="F44" s="17" t="s">
        <v>104</v>
      </c>
      <c r="G44" s="17" t="s">
        <v>276</v>
      </c>
      <c r="H44" s="17" t="s">
        <v>364</v>
      </c>
      <c r="I44" s="17" t="s">
        <v>485</v>
      </c>
      <c r="J44" s="17">
        <v>130</v>
      </c>
      <c r="K44" s="17">
        <v>59</v>
      </c>
      <c r="L44" s="17">
        <v>71</v>
      </c>
      <c r="M44" s="17">
        <v>52</v>
      </c>
      <c r="N44" s="17">
        <v>65</v>
      </c>
      <c r="O44" s="17">
        <v>24</v>
      </c>
      <c r="P44" s="24">
        <v>0.375</v>
      </c>
      <c r="Q44" s="24">
        <v>0.3</v>
      </c>
      <c r="R44" s="24">
        <v>0.62</v>
      </c>
      <c r="S44" s="24">
        <v>1.25</v>
      </c>
      <c r="T44" s="17" t="s">
        <v>481</v>
      </c>
      <c r="U44" s="17" t="s">
        <v>482</v>
      </c>
      <c r="V44" s="17" t="s">
        <v>483</v>
      </c>
      <c r="W44" s="17" t="s">
        <v>484</v>
      </c>
    </row>
    <row r="45" spans="1:23" ht="54">
      <c r="A45" s="13">
        <v>42</v>
      </c>
      <c r="B45" s="14" t="s">
        <v>153</v>
      </c>
      <c r="C45" s="15" t="s">
        <v>80</v>
      </c>
      <c r="D45" s="16" t="s">
        <v>116</v>
      </c>
      <c r="E45" s="17">
        <v>13</v>
      </c>
      <c r="F45" s="17" t="s">
        <v>117</v>
      </c>
      <c r="G45" s="17" t="s">
        <v>259</v>
      </c>
      <c r="H45" s="17" t="s">
        <v>364</v>
      </c>
      <c r="I45" s="17" t="s">
        <v>490</v>
      </c>
      <c r="J45" s="17">
        <v>122</v>
      </c>
      <c r="K45" s="17">
        <v>23</v>
      </c>
      <c r="L45" s="17">
        <v>73</v>
      </c>
      <c r="M45" s="17">
        <v>63</v>
      </c>
      <c r="N45" s="17">
        <v>58</v>
      </c>
      <c r="O45" s="17">
        <v>50</v>
      </c>
      <c r="P45" s="24">
        <v>0.40400000000000003</v>
      </c>
      <c r="Q45" s="24">
        <v>0.3</v>
      </c>
      <c r="R45" s="24">
        <v>0.62</v>
      </c>
      <c r="S45" s="24">
        <v>1.25</v>
      </c>
      <c r="T45" s="17" t="s">
        <v>486</v>
      </c>
      <c r="U45" s="17" t="s">
        <v>487</v>
      </c>
      <c r="V45" s="17" t="s">
        <v>488</v>
      </c>
      <c r="W45" s="17" t="s">
        <v>489</v>
      </c>
    </row>
    <row r="46" spans="1:23" ht="27">
      <c r="A46" s="13">
        <v>43</v>
      </c>
      <c r="B46" s="14" t="s">
        <v>154</v>
      </c>
      <c r="C46" s="18" t="s">
        <v>84</v>
      </c>
      <c r="D46" s="16" t="s">
        <v>116</v>
      </c>
      <c r="E46" s="17">
        <v>18</v>
      </c>
      <c r="F46" s="17" t="s">
        <v>134</v>
      </c>
      <c r="G46" s="17" t="s">
        <v>270</v>
      </c>
      <c r="H46" s="17" t="s">
        <v>364</v>
      </c>
      <c r="I46" s="17" t="s">
        <v>494</v>
      </c>
      <c r="J46" s="17">
        <v>164</v>
      </c>
      <c r="K46" s="17">
        <v>47</v>
      </c>
      <c r="L46" s="17">
        <v>85</v>
      </c>
      <c r="M46" s="17">
        <v>86</v>
      </c>
      <c r="N46" s="17">
        <v>57</v>
      </c>
      <c r="O46" s="17">
        <v>57</v>
      </c>
      <c r="P46" s="24">
        <v>0.20599999999999999</v>
      </c>
      <c r="Q46" s="24">
        <v>0.15</v>
      </c>
      <c r="R46" s="24">
        <v>0.31</v>
      </c>
      <c r="S46" s="24">
        <v>0.625</v>
      </c>
      <c r="T46" s="17" t="s">
        <v>472</v>
      </c>
      <c r="U46" s="17" t="s">
        <v>491</v>
      </c>
      <c r="V46" s="17" t="s">
        <v>492</v>
      </c>
      <c r="W46" s="17" t="s">
        <v>493</v>
      </c>
    </row>
    <row r="47" spans="1:23">
      <c r="A47" s="13">
        <v>44</v>
      </c>
      <c r="B47" s="14" t="s">
        <v>107</v>
      </c>
      <c r="C47" s="18" t="s">
        <v>84</v>
      </c>
      <c r="D47" s="20" t="s">
        <v>132</v>
      </c>
      <c r="E47" s="17">
        <v>17</v>
      </c>
      <c r="F47" s="17" t="s">
        <v>104</v>
      </c>
      <c r="G47" s="17" t="s">
        <v>276</v>
      </c>
      <c r="H47" s="17" t="s">
        <v>364</v>
      </c>
      <c r="I47" s="17" t="s">
        <v>498</v>
      </c>
      <c r="J47" s="17">
        <v>104</v>
      </c>
      <c r="K47" s="17">
        <v>48</v>
      </c>
      <c r="L47" s="17">
        <v>115</v>
      </c>
      <c r="M47" s="17">
        <v>58</v>
      </c>
      <c r="N47" s="17">
        <v>88</v>
      </c>
      <c r="O47" s="17">
        <v>45</v>
      </c>
      <c r="P47" s="24">
        <v>0.218</v>
      </c>
      <c r="Q47" s="24">
        <v>0.15</v>
      </c>
      <c r="R47" s="24">
        <v>0.31</v>
      </c>
      <c r="S47" s="24">
        <v>0.625</v>
      </c>
      <c r="T47" s="17" t="s">
        <v>495</v>
      </c>
      <c r="U47" s="17" t="s">
        <v>496</v>
      </c>
      <c r="V47" s="17" t="s">
        <v>497</v>
      </c>
      <c r="W47" s="17" t="s">
        <v>489</v>
      </c>
    </row>
    <row r="48" spans="1:23" ht="27">
      <c r="A48" s="13">
        <v>45</v>
      </c>
      <c r="B48" s="14" t="s">
        <v>108</v>
      </c>
      <c r="C48" s="18" t="s">
        <v>84</v>
      </c>
      <c r="D48" s="16" t="s">
        <v>116</v>
      </c>
      <c r="E48" s="17">
        <v>19</v>
      </c>
      <c r="F48" s="17" t="s">
        <v>72</v>
      </c>
      <c r="G48" s="17" t="s">
        <v>72</v>
      </c>
      <c r="H48" s="17" t="s">
        <v>364</v>
      </c>
      <c r="I48" s="17" t="s">
        <v>476</v>
      </c>
      <c r="J48" s="17">
        <v>141</v>
      </c>
      <c r="K48" s="17">
        <v>157</v>
      </c>
      <c r="L48" s="17">
        <v>82</v>
      </c>
      <c r="M48" s="17">
        <v>57</v>
      </c>
      <c r="N48" s="17">
        <v>94</v>
      </c>
      <c r="O48" s="17">
        <v>194</v>
      </c>
      <c r="P48" s="24">
        <v>0.19500000000000001</v>
      </c>
      <c r="Q48" s="24">
        <v>0.15</v>
      </c>
      <c r="R48" s="24">
        <v>0.31</v>
      </c>
      <c r="S48" s="24">
        <v>0.625</v>
      </c>
      <c r="T48" s="17" t="s">
        <v>472</v>
      </c>
      <c r="U48" s="17" t="s">
        <v>499</v>
      </c>
      <c r="V48" s="17" t="s">
        <v>500</v>
      </c>
      <c r="W48" s="17" t="s">
        <v>501</v>
      </c>
    </row>
    <row r="49" spans="1:23" ht="40.5">
      <c r="A49" s="13">
        <v>46</v>
      </c>
      <c r="B49" s="14" t="s">
        <v>155</v>
      </c>
      <c r="C49" s="18" t="s">
        <v>84</v>
      </c>
      <c r="D49" s="19" t="s">
        <v>131</v>
      </c>
      <c r="E49" s="17">
        <v>20</v>
      </c>
      <c r="F49" s="17" t="s">
        <v>117</v>
      </c>
      <c r="G49" s="17" t="s">
        <v>264</v>
      </c>
      <c r="H49" s="17" t="s">
        <v>364</v>
      </c>
      <c r="I49" s="17" t="s">
        <v>509</v>
      </c>
      <c r="J49" s="17">
        <v>109</v>
      </c>
      <c r="K49" s="17">
        <v>49</v>
      </c>
      <c r="L49" s="17">
        <v>92</v>
      </c>
      <c r="M49" s="17">
        <v>70</v>
      </c>
      <c r="N49" s="17">
        <v>147</v>
      </c>
      <c r="O49" s="17">
        <v>136</v>
      </c>
      <c r="P49" s="24">
        <v>0.185</v>
      </c>
      <c r="Q49" s="24">
        <v>0.15</v>
      </c>
      <c r="R49" s="24">
        <v>0.31</v>
      </c>
      <c r="S49" s="24">
        <v>0.625</v>
      </c>
      <c r="T49" s="17" t="s">
        <v>502</v>
      </c>
      <c r="U49" s="17" t="s">
        <v>503</v>
      </c>
      <c r="V49" s="17" t="s">
        <v>504</v>
      </c>
      <c r="W49" s="17" t="s">
        <v>505</v>
      </c>
    </row>
    <row r="50" spans="1:23" ht="27">
      <c r="A50" s="13">
        <v>47</v>
      </c>
      <c r="B50" s="14" t="s">
        <v>156</v>
      </c>
      <c r="C50" s="18" t="s">
        <v>84</v>
      </c>
      <c r="D50" s="16" t="s">
        <v>116</v>
      </c>
      <c r="E50" s="17">
        <v>21</v>
      </c>
      <c r="F50" s="17" t="s">
        <v>134</v>
      </c>
      <c r="G50" s="17" t="s">
        <v>270</v>
      </c>
      <c r="H50" s="17" t="s">
        <v>364</v>
      </c>
      <c r="I50" s="17" t="s">
        <v>494</v>
      </c>
      <c r="J50" s="17">
        <v>178</v>
      </c>
      <c r="K50" s="17">
        <v>41</v>
      </c>
      <c r="L50" s="17">
        <v>96</v>
      </c>
      <c r="M50" s="17">
        <v>54</v>
      </c>
      <c r="N50" s="17">
        <v>55</v>
      </c>
      <c r="O50" s="17">
        <v>59</v>
      </c>
      <c r="P50" s="24">
        <v>0.17699999999999999</v>
      </c>
      <c r="Q50" s="24">
        <v>0.15</v>
      </c>
      <c r="R50" s="24">
        <v>0.31</v>
      </c>
      <c r="S50" s="24">
        <v>0.625</v>
      </c>
      <c r="T50" s="17" t="s">
        <v>472</v>
      </c>
      <c r="U50" s="17" t="s">
        <v>506</v>
      </c>
      <c r="V50" s="17" t="s">
        <v>507</v>
      </c>
      <c r="W50" s="17" t="s">
        <v>508</v>
      </c>
    </row>
    <row r="51" spans="1:23" ht="27">
      <c r="A51" s="13">
        <v>48</v>
      </c>
      <c r="B51" s="14" t="s">
        <v>157</v>
      </c>
      <c r="C51" s="18" t="s">
        <v>84</v>
      </c>
      <c r="D51" s="16" t="s">
        <v>116</v>
      </c>
      <c r="E51" s="17">
        <v>22</v>
      </c>
      <c r="F51" s="17" t="s">
        <v>134</v>
      </c>
      <c r="G51" s="17" t="s">
        <v>270</v>
      </c>
      <c r="H51" s="17" t="s">
        <v>364</v>
      </c>
      <c r="I51" s="17" t="s">
        <v>514</v>
      </c>
      <c r="J51" s="17">
        <v>144</v>
      </c>
      <c r="K51" s="17">
        <v>29</v>
      </c>
      <c r="L51" s="17">
        <v>99</v>
      </c>
      <c r="M51" s="17">
        <v>82</v>
      </c>
      <c r="N51" s="17">
        <v>70</v>
      </c>
      <c r="O51" s="17">
        <v>52</v>
      </c>
      <c r="P51" s="24">
        <v>0.16900000000000001</v>
      </c>
      <c r="Q51" s="24">
        <v>0.15</v>
      </c>
      <c r="R51" s="24">
        <v>0.31</v>
      </c>
      <c r="S51" s="24">
        <v>0.625</v>
      </c>
      <c r="T51" s="17" t="s">
        <v>510</v>
      </c>
      <c r="U51" s="17" t="s">
        <v>511</v>
      </c>
      <c r="V51" s="17" t="s">
        <v>512</v>
      </c>
      <c r="W51" s="17" t="s">
        <v>513</v>
      </c>
    </row>
    <row r="52" spans="1:23" ht="27">
      <c r="A52" s="13">
        <v>49</v>
      </c>
      <c r="B52" s="14" t="s">
        <v>158</v>
      </c>
      <c r="C52" s="18" t="s">
        <v>84</v>
      </c>
      <c r="D52" s="16" t="s">
        <v>116</v>
      </c>
      <c r="E52" s="17">
        <v>23</v>
      </c>
      <c r="F52" s="17" t="s">
        <v>117</v>
      </c>
      <c r="G52" s="17" t="s">
        <v>277</v>
      </c>
      <c r="H52" s="17" t="s">
        <v>364</v>
      </c>
      <c r="I52" s="17" t="s">
        <v>476</v>
      </c>
      <c r="J52" s="17">
        <v>137</v>
      </c>
      <c r="K52" s="17">
        <v>42</v>
      </c>
      <c r="L52" s="17">
        <v>100</v>
      </c>
      <c r="M52" s="17">
        <v>71</v>
      </c>
      <c r="N52" s="17">
        <v>68</v>
      </c>
      <c r="O52" s="17">
        <v>71</v>
      </c>
      <c r="P52" s="24">
        <v>0.16900000000000001</v>
      </c>
      <c r="Q52" s="24">
        <v>0.15</v>
      </c>
      <c r="R52" s="24">
        <v>0.31</v>
      </c>
      <c r="S52" s="24">
        <v>0.625</v>
      </c>
      <c r="T52" s="17" t="s">
        <v>515</v>
      </c>
      <c r="U52" s="17" t="s">
        <v>516</v>
      </c>
      <c r="V52" s="17" t="s">
        <v>517</v>
      </c>
      <c r="W52" s="17" t="s">
        <v>518</v>
      </c>
    </row>
    <row r="53" spans="1:23" ht="40.5">
      <c r="A53" s="13">
        <v>50</v>
      </c>
      <c r="B53" s="14" t="s">
        <v>159</v>
      </c>
      <c r="C53" s="16" t="s">
        <v>144</v>
      </c>
      <c r="D53" s="19" t="s">
        <v>131</v>
      </c>
      <c r="E53" s="17">
        <v>27</v>
      </c>
      <c r="F53" s="17" t="s">
        <v>160</v>
      </c>
      <c r="G53" s="17" t="s">
        <v>263</v>
      </c>
      <c r="H53" s="17" t="s">
        <v>364</v>
      </c>
      <c r="I53" s="17" t="s">
        <v>521</v>
      </c>
      <c r="J53" s="17">
        <v>116</v>
      </c>
      <c r="K53" s="17">
        <v>109</v>
      </c>
      <c r="L53" s="17">
        <v>102</v>
      </c>
      <c r="M53" s="17">
        <v>133</v>
      </c>
      <c r="N53" s="17">
        <v>124</v>
      </c>
      <c r="O53" s="17">
        <v>146</v>
      </c>
      <c r="P53" s="24">
        <v>8.2000000000000003E-2</v>
      </c>
      <c r="Q53" s="24">
        <v>0.09</v>
      </c>
      <c r="R53" s="24">
        <v>0.186</v>
      </c>
      <c r="S53" s="24">
        <v>0.375</v>
      </c>
      <c r="T53" s="17" t="s">
        <v>510</v>
      </c>
      <c r="U53" s="17" t="s">
        <v>519</v>
      </c>
      <c r="V53" s="17" t="s">
        <v>512</v>
      </c>
      <c r="W53" s="17" t="s">
        <v>520</v>
      </c>
    </row>
    <row r="54" spans="1:23" ht="27">
      <c r="A54" s="13">
        <v>51</v>
      </c>
      <c r="B54" s="14" t="s">
        <v>161</v>
      </c>
      <c r="C54" s="16" t="s">
        <v>144</v>
      </c>
      <c r="D54" s="16" t="s">
        <v>116</v>
      </c>
      <c r="E54" s="17">
        <v>28</v>
      </c>
      <c r="F54" s="17" t="s">
        <v>117</v>
      </c>
      <c r="G54" s="17" t="s">
        <v>266</v>
      </c>
      <c r="H54" s="17" t="s">
        <v>364</v>
      </c>
      <c r="I54" s="17" t="s">
        <v>525</v>
      </c>
      <c r="J54" s="17">
        <v>116</v>
      </c>
      <c r="K54" s="17">
        <v>13</v>
      </c>
      <c r="L54" s="17">
        <v>116</v>
      </c>
      <c r="M54" s="17">
        <v>90</v>
      </c>
      <c r="N54" s="17">
        <v>49</v>
      </c>
      <c r="O54" s="17">
        <v>23</v>
      </c>
      <c r="P54" s="24">
        <v>7.9000000000000001E-2</v>
      </c>
      <c r="Q54" s="24">
        <v>0.09</v>
      </c>
      <c r="R54" s="24">
        <v>0.186</v>
      </c>
      <c r="S54" s="24">
        <v>0.375</v>
      </c>
      <c r="T54" s="17" t="s">
        <v>472</v>
      </c>
      <c r="U54" s="17" t="s">
        <v>522</v>
      </c>
      <c r="V54" s="17" t="s">
        <v>523</v>
      </c>
      <c r="W54" s="17" t="s">
        <v>524</v>
      </c>
    </row>
    <row r="55" spans="1:23" ht="40.5">
      <c r="A55" s="13">
        <v>52</v>
      </c>
      <c r="B55" s="14" t="s">
        <v>162</v>
      </c>
      <c r="C55" s="15" t="s">
        <v>80</v>
      </c>
      <c r="D55" s="16" t="s">
        <v>116</v>
      </c>
      <c r="E55" s="17">
        <v>12</v>
      </c>
      <c r="F55" s="17" t="s">
        <v>117</v>
      </c>
      <c r="G55" s="17" t="s">
        <v>267</v>
      </c>
      <c r="H55" s="17" t="s">
        <v>364</v>
      </c>
      <c r="I55" s="17" t="s">
        <v>529</v>
      </c>
      <c r="J55" s="17">
        <v>49</v>
      </c>
      <c r="K55" s="17">
        <v>12</v>
      </c>
      <c r="L55" s="17">
        <v>82</v>
      </c>
      <c r="M55" s="17">
        <v>128</v>
      </c>
      <c r="N55" s="17">
        <v>22</v>
      </c>
      <c r="O55" s="17">
        <v>16</v>
      </c>
      <c r="P55" s="24">
        <v>0.438</v>
      </c>
      <c r="Q55" s="24">
        <v>0.3</v>
      </c>
      <c r="R55" s="24">
        <v>0.62</v>
      </c>
      <c r="S55" s="24">
        <v>1.25</v>
      </c>
      <c r="T55" s="17" t="s">
        <v>472</v>
      </c>
      <c r="U55" s="17" t="s">
        <v>526</v>
      </c>
      <c r="V55" s="17" t="s">
        <v>527</v>
      </c>
      <c r="W55" s="17" t="s">
        <v>528</v>
      </c>
    </row>
    <row r="56" spans="1:23" ht="81">
      <c r="A56" s="13">
        <v>53</v>
      </c>
      <c r="B56" s="14" t="s">
        <v>163</v>
      </c>
      <c r="C56" s="18" t="s">
        <v>84</v>
      </c>
      <c r="D56" s="19" t="s">
        <v>131</v>
      </c>
      <c r="E56" s="17">
        <v>18</v>
      </c>
      <c r="F56" s="17" t="s">
        <v>160</v>
      </c>
      <c r="G56" s="17" t="s">
        <v>263</v>
      </c>
      <c r="H56" s="17" t="s">
        <v>364</v>
      </c>
      <c r="I56" s="17" t="s">
        <v>514</v>
      </c>
      <c r="J56" s="17">
        <v>146</v>
      </c>
      <c r="K56" s="17">
        <v>73</v>
      </c>
      <c r="L56" s="17">
        <v>69</v>
      </c>
      <c r="M56" s="17">
        <v>82</v>
      </c>
      <c r="N56" s="17">
        <v>80</v>
      </c>
      <c r="O56" s="17">
        <v>154</v>
      </c>
      <c r="P56" s="24">
        <v>0.20599999999999999</v>
      </c>
      <c r="Q56" s="24">
        <v>0.15</v>
      </c>
      <c r="R56" s="24">
        <v>0.31</v>
      </c>
      <c r="S56" s="24">
        <v>0.625</v>
      </c>
      <c r="T56" s="17" t="s">
        <v>530</v>
      </c>
      <c r="U56" s="17" t="s">
        <v>472</v>
      </c>
      <c r="V56" s="17" t="s">
        <v>531</v>
      </c>
      <c r="W56" s="17" t="s">
        <v>532</v>
      </c>
    </row>
    <row r="57" spans="1:23" ht="27">
      <c r="A57" s="13">
        <v>54</v>
      </c>
      <c r="B57" s="14" t="s">
        <v>164</v>
      </c>
      <c r="C57" s="18" t="s">
        <v>84</v>
      </c>
      <c r="D57" s="16" t="s">
        <v>116</v>
      </c>
      <c r="E57" s="17">
        <v>19</v>
      </c>
      <c r="F57" s="17" t="s">
        <v>117</v>
      </c>
      <c r="G57" s="17" t="s">
        <v>278</v>
      </c>
      <c r="H57" s="17" t="s">
        <v>364</v>
      </c>
      <c r="I57" s="17" t="s">
        <v>537</v>
      </c>
      <c r="J57" s="17">
        <v>89</v>
      </c>
      <c r="K57" s="17">
        <v>15</v>
      </c>
      <c r="L57" s="17">
        <v>98</v>
      </c>
      <c r="M57" s="17">
        <v>75</v>
      </c>
      <c r="N57" s="17">
        <v>72</v>
      </c>
      <c r="O57" s="17">
        <v>20</v>
      </c>
      <c r="P57" s="24">
        <v>0.19500000000000001</v>
      </c>
      <c r="Q57" s="24">
        <v>0.15</v>
      </c>
      <c r="R57" s="24">
        <v>0.31</v>
      </c>
      <c r="S57" s="24">
        <v>0.625</v>
      </c>
      <c r="T57" s="17" t="s">
        <v>533</v>
      </c>
      <c r="U57" s="17" t="s">
        <v>534</v>
      </c>
      <c r="V57" s="17" t="s">
        <v>535</v>
      </c>
      <c r="W57" s="17" t="s">
        <v>536</v>
      </c>
    </row>
    <row r="58" spans="1:23" ht="27">
      <c r="A58" s="13">
        <v>55</v>
      </c>
      <c r="B58" s="14" t="s">
        <v>165</v>
      </c>
      <c r="C58" s="18" t="s">
        <v>84</v>
      </c>
      <c r="D58" s="16" t="s">
        <v>116</v>
      </c>
      <c r="E58" s="17">
        <v>20</v>
      </c>
      <c r="F58" s="17" t="s">
        <v>166</v>
      </c>
      <c r="G58" s="17" t="s">
        <v>166</v>
      </c>
      <c r="H58" s="17" t="s">
        <v>364</v>
      </c>
      <c r="I58" s="17" t="s">
        <v>540</v>
      </c>
      <c r="J58" s="17">
        <v>109</v>
      </c>
      <c r="K58" s="17">
        <v>91</v>
      </c>
      <c r="L58" s="17">
        <v>76</v>
      </c>
      <c r="M58" s="17">
        <v>98</v>
      </c>
      <c r="N58" s="17">
        <v>38</v>
      </c>
      <c r="O58" s="17">
        <v>65</v>
      </c>
      <c r="P58" s="24">
        <v>0.185</v>
      </c>
      <c r="Q58" s="24">
        <v>0.15</v>
      </c>
      <c r="R58" s="24">
        <v>0.31</v>
      </c>
      <c r="S58" s="24">
        <v>0.625</v>
      </c>
      <c r="T58" s="17" t="s">
        <v>486</v>
      </c>
      <c r="U58" s="17" t="s">
        <v>538</v>
      </c>
      <c r="V58" s="17" t="s">
        <v>539</v>
      </c>
      <c r="W58" s="17" t="s">
        <v>528</v>
      </c>
    </row>
    <row r="59" spans="1:23" ht="27">
      <c r="A59" s="13">
        <v>56</v>
      </c>
      <c r="B59" s="14" t="s">
        <v>167</v>
      </c>
      <c r="C59" s="18" t="s">
        <v>84</v>
      </c>
      <c r="D59" s="16" t="s">
        <v>116</v>
      </c>
      <c r="E59" s="17">
        <v>21</v>
      </c>
      <c r="F59" s="17" t="s">
        <v>81</v>
      </c>
      <c r="G59" s="17" t="s">
        <v>81</v>
      </c>
      <c r="H59" s="17" t="s">
        <v>545</v>
      </c>
      <c r="I59" s="17" t="s">
        <v>546</v>
      </c>
      <c r="J59" s="17">
        <v>125</v>
      </c>
      <c r="K59" s="17">
        <v>29</v>
      </c>
      <c r="L59" s="17">
        <v>74</v>
      </c>
      <c r="M59" s="17">
        <v>83</v>
      </c>
      <c r="N59" s="17">
        <v>50</v>
      </c>
      <c r="O59" s="17">
        <v>47</v>
      </c>
      <c r="P59" s="24">
        <v>0.17699999999999999</v>
      </c>
      <c r="Q59" s="24">
        <v>0.15</v>
      </c>
      <c r="R59" s="24">
        <v>0.31</v>
      </c>
      <c r="S59" s="24">
        <v>0.625</v>
      </c>
      <c r="T59" s="17" t="s">
        <v>472</v>
      </c>
      <c r="U59" s="17" t="s">
        <v>541</v>
      </c>
      <c r="V59" s="17" t="s">
        <v>542</v>
      </c>
      <c r="W59" s="17" t="s">
        <v>543</v>
      </c>
    </row>
    <row r="60" spans="1:23" ht="27">
      <c r="A60" s="13">
        <v>57</v>
      </c>
      <c r="B60" s="14" t="s">
        <v>168</v>
      </c>
      <c r="C60" s="16" t="s">
        <v>144</v>
      </c>
      <c r="D60" s="16" t="s">
        <v>116</v>
      </c>
      <c r="E60" s="17">
        <v>30</v>
      </c>
      <c r="F60" s="17" t="s">
        <v>117</v>
      </c>
      <c r="G60" s="17" t="s">
        <v>279</v>
      </c>
      <c r="H60" s="17" t="s">
        <v>545</v>
      </c>
      <c r="I60" s="17" t="s">
        <v>550</v>
      </c>
      <c r="J60" s="17">
        <v>148</v>
      </c>
      <c r="K60" s="17">
        <v>31</v>
      </c>
      <c r="L60" s="17">
        <v>115</v>
      </c>
      <c r="M60" s="17">
        <v>88</v>
      </c>
      <c r="N60" s="17">
        <v>85</v>
      </c>
      <c r="O60" s="17">
        <v>53</v>
      </c>
      <c r="P60" s="24">
        <v>7.2999999999999995E-2</v>
      </c>
      <c r="Q60" s="24">
        <v>0.09</v>
      </c>
      <c r="R60" s="24">
        <v>0.186</v>
      </c>
      <c r="S60" s="24">
        <v>0.375</v>
      </c>
      <c r="T60" s="17" t="s">
        <v>457</v>
      </c>
      <c r="U60" s="17" t="s">
        <v>547</v>
      </c>
      <c r="V60" s="17" t="s">
        <v>548</v>
      </c>
      <c r="W60" s="17" t="s">
        <v>549</v>
      </c>
    </row>
    <row r="61" spans="1:23" ht="27">
      <c r="A61" s="13">
        <v>58</v>
      </c>
      <c r="B61" s="14" t="s">
        <v>169</v>
      </c>
      <c r="C61" s="16" t="s">
        <v>144</v>
      </c>
      <c r="D61" s="16" t="s">
        <v>116</v>
      </c>
      <c r="E61" s="17">
        <v>30</v>
      </c>
      <c r="F61" s="17" t="s">
        <v>117</v>
      </c>
      <c r="G61" s="17" t="s">
        <v>267</v>
      </c>
      <c r="H61" s="17" t="s">
        <v>545</v>
      </c>
      <c r="I61" s="17" t="s">
        <v>554</v>
      </c>
      <c r="J61" s="17">
        <v>159</v>
      </c>
      <c r="K61" s="17">
        <v>32</v>
      </c>
      <c r="L61" s="17">
        <v>129</v>
      </c>
      <c r="M61" s="17">
        <v>110</v>
      </c>
      <c r="N61" s="17">
        <v>52</v>
      </c>
      <c r="O61" s="17">
        <v>64</v>
      </c>
      <c r="P61" s="24">
        <v>7.2999999999999995E-2</v>
      </c>
      <c r="Q61" s="24">
        <v>0.09</v>
      </c>
      <c r="R61" s="24">
        <v>0.186</v>
      </c>
      <c r="S61" s="24">
        <v>0.375</v>
      </c>
      <c r="T61" s="17" t="s">
        <v>457</v>
      </c>
      <c r="U61" s="17" t="s">
        <v>551</v>
      </c>
      <c r="V61" s="17" t="s">
        <v>552</v>
      </c>
      <c r="W61" s="17" t="s">
        <v>553</v>
      </c>
    </row>
    <row r="62" spans="1:23" ht="27">
      <c r="A62" s="13">
        <v>59</v>
      </c>
      <c r="B62" s="14" t="s">
        <v>170</v>
      </c>
      <c r="C62" s="15" t="s">
        <v>80</v>
      </c>
      <c r="D62" s="16" t="s">
        <v>116</v>
      </c>
      <c r="E62" s="17">
        <v>12</v>
      </c>
      <c r="F62" s="17" t="s">
        <v>171</v>
      </c>
      <c r="G62" s="17" t="s">
        <v>274</v>
      </c>
      <c r="H62" s="17" t="s">
        <v>364</v>
      </c>
      <c r="I62" s="17" t="s">
        <v>559</v>
      </c>
      <c r="J62" s="17">
        <v>123</v>
      </c>
      <c r="K62" s="17">
        <v>72</v>
      </c>
      <c r="L62" s="17">
        <v>69</v>
      </c>
      <c r="M62" s="17">
        <v>78</v>
      </c>
      <c r="N62" s="17">
        <v>53</v>
      </c>
      <c r="O62" s="17">
        <v>44</v>
      </c>
      <c r="P62" s="24">
        <v>0.438</v>
      </c>
      <c r="Q62" s="24">
        <v>0.3</v>
      </c>
      <c r="R62" s="24">
        <v>0.62</v>
      </c>
      <c r="S62" s="24">
        <v>1.25</v>
      </c>
      <c r="T62" s="17" t="s">
        <v>555</v>
      </c>
      <c r="U62" s="17" t="s">
        <v>556</v>
      </c>
      <c r="V62" s="17" t="s">
        <v>557</v>
      </c>
      <c r="W62" s="17" t="s">
        <v>558</v>
      </c>
    </row>
    <row r="63" spans="1:23" ht="67.5">
      <c r="A63" s="13">
        <v>60</v>
      </c>
      <c r="B63" s="14" t="s">
        <v>172</v>
      </c>
      <c r="C63" s="15" t="s">
        <v>80</v>
      </c>
      <c r="D63" s="16" t="s">
        <v>116</v>
      </c>
      <c r="E63" s="17">
        <v>15</v>
      </c>
      <c r="F63" s="17" t="s">
        <v>173</v>
      </c>
      <c r="G63" s="17" t="s">
        <v>173</v>
      </c>
      <c r="H63" s="17" t="s">
        <v>545</v>
      </c>
      <c r="I63" s="17" t="s">
        <v>561</v>
      </c>
      <c r="J63" s="17">
        <v>125</v>
      </c>
      <c r="K63" s="17">
        <v>57</v>
      </c>
      <c r="L63" s="17">
        <v>82</v>
      </c>
      <c r="M63" s="17">
        <v>44</v>
      </c>
      <c r="N63" s="17">
        <v>69</v>
      </c>
      <c r="O63" s="17">
        <v>76</v>
      </c>
      <c r="P63" s="24">
        <v>0.35</v>
      </c>
      <c r="Q63" s="24">
        <v>0.3</v>
      </c>
      <c r="R63" s="24">
        <v>0.62</v>
      </c>
      <c r="S63" s="24">
        <v>1.25</v>
      </c>
      <c r="T63" s="17" t="s">
        <v>385</v>
      </c>
      <c r="U63" s="17" t="s">
        <v>422</v>
      </c>
      <c r="V63" s="17" t="s">
        <v>560</v>
      </c>
      <c r="W63" s="17" t="s">
        <v>425</v>
      </c>
    </row>
    <row r="64" spans="1:23" ht="40.5">
      <c r="A64" s="13">
        <v>61</v>
      </c>
      <c r="B64" s="14" t="s">
        <v>174</v>
      </c>
      <c r="C64" s="15" t="s">
        <v>80</v>
      </c>
      <c r="D64" s="20" t="s">
        <v>132</v>
      </c>
      <c r="E64" s="17">
        <v>15</v>
      </c>
      <c r="F64" s="17" t="s">
        <v>175</v>
      </c>
      <c r="G64" s="17" t="s">
        <v>280</v>
      </c>
      <c r="H64" s="17" t="s">
        <v>364</v>
      </c>
      <c r="I64" s="17" t="s">
        <v>566</v>
      </c>
      <c r="J64" s="17">
        <v>110</v>
      </c>
      <c r="K64" s="17">
        <v>44</v>
      </c>
      <c r="L64" s="17">
        <v>87</v>
      </c>
      <c r="M64" s="17">
        <v>57</v>
      </c>
      <c r="N64" s="17">
        <v>66</v>
      </c>
      <c r="O64" s="17">
        <v>51</v>
      </c>
      <c r="P64" s="24">
        <v>0.35</v>
      </c>
      <c r="Q64" s="24">
        <v>0.3</v>
      </c>
      <c r="R64" s="24">
        <v>0.62</v>
      </c>
      <c r="S64" s="24">
        <v>1.25</v>
      </c>
      <c r="T64" s="17" t="s">
        <v>562</v>
      </c>
      <c r="U64" s="17" t="s">
        <v>563</v>
      </c>
      <c r="V64" s="17" t="s">
        <v>564</v>
      </c>
      <c r="W64" s="17" t="s">
        <v>565</v>
      </c>
    </row>
    <row r="65" spans="1:23" ht="40.5">
      <c r="A65" s="13">
        <v>62</v>
      </c>
      <c r="B65" s="14" t="s">
        <v>176</v>
      </c>
      <c r="C65" s="18" t="s">
        <v>84</v>
      </c>
      <c r="D65" s="16" t="s">
        <v>116</v>
      </c>
      <c r="E65" s="17">
        <v>19</v>
      </c>
      <c r="F65" s="17" t="s">
        <v>177</v>
      </c>
      <c r="G65" s="17" t="s">
        <v>177</v>
      </c>
      <c r="H65" s="17" t="s">
        <v>364</v>
      </c>
      <c r="I65" s="17" t="s">
        <v>569</v>
      </c>
      <c r="J65" s="17">
        <v>208</v>
      </c>
      <c r="K65" s="17">
        <v>22</v>
      </c>
      <c r="L65" s="17">
        <v>77</v>
      </c>
      <c r="M65" s="17">
        <v>60</v>
      </c>
      <c r="N65" s="17">
        <v>63</v>
      </c>
      <c r="O65" s="17">
        <v>57</v>
      </c>
      <c r="P65" s="24">
        <v>0.19500000000000001</v>
      </c>
      <c r="Q65" s="24">
        <v>0.15</v>
      </c>
      <c r="R65" s="24">
        <v>0.31</v>
      </c>
      <c r="S65" s="24">
        <v>0.625</v>
      </c>
      <c r="T65" s="17" t="s">
        <v>355</v>
      </c>
      <c r="U65" s="17" t="s">
        <v>567</v>
      </c>
      <c r="V65" s="17" t="s">
        <v>568</v>
      </c>
      <c r="W65" s="17" t="s">
        <v>425</v>
      </c>
    </row>
    <row r="66" spans="1:23" ht="40.5">
      <c r="A66" s="13">
        <v>63</v>
      </c>
      <c r="B66" s="14" t="s">
        <v>178</v>
      </c>
      <c r="C66" s="18" t="s">
        <v>84</v>
      </c>
      <c r="D66" s="20" t="s">
        <v>132</v>
      </c>
      <c r="E66" s="17">
        <v>20</v>
      </c>
      <c r="F66" s="17" t="s">
        <v>68</v>
      </c>
      <c r="G66" s="17" t="s">
        <v>68</v>
      </c>
      <c r="H66" s="17" t="s">
        <v>364</v>
      </c>
      <c r="I66" s="17" t="s">
        <v>570</v>
      </c>
      <c r="J66" s="17">
        <v>129</v>
      </c>
      <c r="K66" s="17">
        <v>104</v>
      </c>
      <c r="L66" s="17">
        <v>97</v>
      </c>
      <c r="M66" s="17">
        <v>14</v>
      </c>
      <c r="N66" s="17">
        <v>134</v>
      </c>
      <c r="O66" s="17">
        <v>201</v>
      </c>
      <c r="P66" s="24">
        <v>0.185</v>
      </c>
      <c r="Q66" s="24">
        <v>0.15</v>
      </c>
      <c r="R66" s="24">
        <v>0.31</v>
      </c>
      <c r="S66" s="24">
        <v>0.625</v>
      </c>
      <c r="T66" s="17" t="s">
        <v>355</v>
      </c>
      <c r="U66" s="17" t="s">
        <v>571</v>
      </c>
      <c r="V66" s="17" t="s">
        <v>572</v>
      </c>
      <c r="W66" s="17" t="s">
        <v>573</v>
      </c>
    </row>
    <row r="67" spans="1:23" ht="27">
      <c r="A67" s="13">
        <v>64</v>
      </c>
      <c r="B67" s="14" t="s">
        <v>179</v>
      </c>
      <c r="C67" s="18" t="s">
        <v>84</v>
      </c>
      <c r="D67" s="16" t="s">
        <v>116</v>
      </c>
      <c r="E67" s="17">
        <v>20</v>
      </c>
      <c r="F67" s="17" t="s">
        <v>105</v>
      </c>
      <c r="G67" s="17" t="s">
        <v>281</v>
      </c>
      <c r="H67" s="17" t="s">
        <v>364</v>
      </c>
      <c r="I67" s="17" t="s">
        <v>494</v>
      </c>
      <c r="J67" s="17">
        <v>105</v>
      </c>
      <c r="K67" s="17">
        <v>26</v>
      </c>
      <c r="L67" s="17">
        <v>110</v>
      </c>
      <c r="M67" s="17">
        <v>31</v>
      </c>
      <c r="N67" s="17">
        <v>89</v>
      </c>
      <c r="O67" s="17">
        <v>31</v>
      </c>
      <c r="P67" s="24">
        <v>0.185</v>
      </c>
      <c r="Q67" s="24">
        <v>0.15</v>
      </c>
      <c r="R67" s="24">
        <v>0.31</v>
      </c>
      <c r="S67" s="24">
        <v>0.625</v>
      </c>
      <c r="T67" s="17" t="s">
        <v>355</v>
      </c>
      <c r="U67" s="17" t="s">
        <v>574</v>
      </c>
      <c r="V67" s="17" t="s">
        <v>575</v>
      </c>
      <c r="W67" s="17" t="s">
        <v>425</v>
      </c>
    </row>
    <row r="68" spans="1:23" ht="27">
      <c r="A68" s="13">
        <v>65</v>
      </c>
      <c r="B68" s="14" t="s">
        <v>180</v>
      </c>
      <c r="C68" s="18" t="s">
        <v>84</v>
      </c>
      <c r="D68" s="16" t="s">
        <v>116</v>
      </c>
      <c r="E68" s="17">
        <v>25</v>
      </c>
      <c r="F68" s="17" t="s">
        <v>70</v>
      </c>
      <c r="G68" s="17" t="s">
        <v>70</v>
      </c>
      <c r="H68" s="17" t="s">
        <v>364</v>
      </c>
      <c r="I68" s="17" t="s">
        <v>578</v>
      </c>
      <c r="J68" s="17">
        <v>172</v>
      </c>
      <c r="K68" s="17">
        <v>43</v>
      </c>
      <c r="L68" s="17">
        <v>99</v>
      </c>
      <c r="M68" s="17">
        <v>77</v>
      </c>
      <c r="N68" s="17">
        <v>62</v>
      </c>
      <c r="O68" s="17">
        <v>77</v>
      </c>
      <c r="P68" s="24">
        <v>0.14799999999999999</v>
      </c>
      <c r="Q68" s="24">
        <v>0.15</v>
      </c>
      <c r="R68" s="24">
        <v>0.31</v>
      </c>
      <c r="S68" s="24">
        <v>0.625</v>
      </c>
      <c r="T68" s="17" t="s">
        <v>263</v>
      </c>
      <c r="U68" s="17" t="s">
        <v>576</v>
      </c>
      <c r="V68" s="17" t="s">
        <v>577</v>
      </c>
      <c r="W68" s="17" t="s">
        <v>425</v>
      </c>
    </row>
    <row r="69" spans="1:23" ht="67.5">
      <c r="A69" s="13">
        <v>66</v>
      </c>
      <c r="B69" s="14" t="s">
        <v>181</v>
      </c>
      <c r="C69" s="18" t="s">
        <v>84</v>
      </c>
      <c r="D69" s="16" t="s">
        <v>116</v>
      </c>
      <c r="E69" s="17">
        <v>28</v>
      </c>
      <c r="F69" s="17" t="s">
        <v>117</v>
      </c>
      <c r="G69" s="17" t="s">
        <v>279</v>
      </c>
      <c r="H69" s="17" t="s">
        <v>613</v>
      </c>
      <c r="I69" s="17" t="s">
        <v>581</v>
      </c>
      <c r="J69" s="17">
        <v>213</v>
      </c>
      <c r="K69" s="17">
        <v>49</v>
      </c>
      <c r="L69" s="17">
        <v>111</v>
      </c>
      <c r="M69" s="17">
        <v>16</v>
      </c>
      <c r="N69" s="17">
        <v>27</v>
      </c>
      <c r="O69" s="17">
        <v>103</v>
      </c>
      <c r="P69" s="24">
        <v>0.14799999999999999</v>
      </c>
      <c r="Q69" s="24">
        <v>0.15</v>
      </c>
      <c r="R69" s="24">
        <v>0.31</v>
      </c>
      <c r="S69" s="24">
        <v>0.625</v>
      </c>
      <c r="T69" s="17" t="s">
        <v>355</v>
      </c>
      <c r="U69" s="17" t="s">
        <v>579</v>
      </c>
      <c r="V69" s="17" t="s">
        <v>580</v>
      </c>
      <c r="W69" s="17" t="s">
        <v>425</v>
      </c>
    </row>
    <row r="70" spans="1:23" ht="27">
      <c r="A70" s="13">
        <v>67</v>
      </c>
      <c r="B70" s="14" t="s">
        <v>182</v>
      </c>
      <c r="C70" s="16" t="s">
        <v>144</v>
      </c>
      <c r="D70" s="19" t="s">
        <v>131</v>
      </c>
      <c r="E70" s="17">
        <v>28</v>
      </c>
      <c r="F70" s="17" t="s">
        <v>183</v>
      </c>
      <c r="G70" s="17" t="s">
        <v>282</v>
      </c>
      <c r="H70" s="17" t="s">
        <v>364</v>
      </c>
      <c r="I70" s="17" t="s">
        <v>585</v>
      </c>
      <c r="J70" s="17">
        <v>102</v>
      </c>
      <c r="K70" s="17">
        <v>85</v>
      </c>
      <c r="L70" s="17">
        <v>97</v>
      </c>
      <c r="M70" s="17">
        <v>120</v>
      </c>
      <c r="N70" s="17">
        <v>120</v>
      </c>
      <c r="O70" s="17">
        <v>120</v>
      </c>
      <c r="P70" s="24">
        <v>7.9000000000000001E-2</v>
      </c>
      <c r="Q70" s="24">
        <v>0.09</v>
      </c>
      <c r="R70" s="24">
        <v>0.186</v>
      </c>
      <c r="S70" s="24">
        <v>0.375</v>
      </c>
      <c r="T70" s="17" t="s">
        <v>429</v>
      </c>
      <c r="U70" s="17" t="s">
        <v>582</v>
      </c>
      <c r="V70" s="17" t="s">
        <v>583</v>
      </c>
      <c r="W70" s="17" t="s">
        <v>584</v>
      </c>
    </row>
    <row r="71" spans="1:23">
      <c r="A71" s="13">
        <v>68</v>
      </c>
      <c r="B71" s="14" t="s">
        <v>109</v>
      </c>
      <c r="C71" s="15" t="s">
        <v>80</v>
      </c>
      <c r="D71" s="16" t="s">
        <v>116</v>
      </c>
      <c r="E71" s="17">
        <v>13</v>
      </c>
      <c r="F71" s="17" t="s">
        <v>117</v>
      </c>
      <c r="G71" s="17" t="s">
        <v>81</v>
      </c>
      <c r="H71" s="17" t="s">
        <v>364</v>
      </c>
      <c r="I71" s="17" t="s">
        <v>590</v>
      </c>
      <c r="J71" s="17">
        <v>138</v>
      </c>
      <c r="K71" s="17">
        <v>62</v>
      </c>
      <c r="L71" s="17">
        <v>68</v>
      </c>
      <c r="M71" s="17">
        <v>62</v>
      </c>
      <c r="N71" s="17">
        <v>56</v>
      </c>
      <c r="O71" s="17">
        <v>37</v>
      </c>
      <c r="P71" s="24">
        <v>0.40400000000000003</v>
      </c>
      <c r="Q71" s="24">
        <v>0.3</v>
      </c>
      <c r="R71" s="24">
        <v>0.62</v>
      </c>
      <c r="S71" s="24">
        <v>1.25</v>
      </c>
      <c r="T71" s="17" t="s">
        <v>586</v>
      </c>
      <c r="U71" s="17" t="s">
        <v>587</v>
      </c>
      <c r="V71" s="17" t="s">
        <v>588</v>
      </c>
      <c r="W71" s="17" t="s">
        <v>589</v>
      </c>
    </row>
    <row r="72" spans="1:23" ht="27">
      <c r="A72" s="13">
        <v>69</v>
      </c>
      <c r="B72" s="14" t="s">
        <v>110</v>
      </c>
      <c r="C72" s="15" t="s">
        <v>80</v>
      </c>
      <c r="D72" s="16" t="s">
        <v>116</v>
      </c>
      <c r="E72" s="17">
        <v>15</v>
      </c>
      <c r="F72" s="17" t="s">
        <v>81</v>
      </c>
      <c r="G72" s="17" t="s">
        <v>81</v>
      </c>
      <c r="H72" s="17" t="s">
        <v>364</v>
      </c>
      <c r="I72" s="17" t="s">
        <v>111</v>
      </c>
      <c r="J72" s="17">
        <v>130</v>
      </c>
      <c r="K72" s="17">
        <v>29</v>
      </c>
      <c r="L72" s="17">
        <v>70</v>
      </c>
      <c r="M72" s="17">
        <v>58</v>
      </c>
      <c r="N72" s="17">
        <v>44</v>
      </c>
      <c r="O72" s="17">
        <v>35</v>
      </c>
      <c r="P72" s="24">
        <v>0.35</v>
      </c>
      <c r="Q72" s="24">
        <v>0.3</v>
      </c>
      <c r="R72" s="24">
        <v>0.62</v>
      </c>
      <c r="S72" s="24">
        <v>1.25</v>
      </c>
      <c r="T72" s="17" t="s">
        <v>591</v>
      </c>
      <c r="U72" s="17" t="s">
        <v>592</v>
      </c>
      <c r="V72" s="17" t="s">
        <v>593</v>
      </c>
      <c r="W72" s="17" t="s">
        <v>594</v>
      </c>
    </row>
    <row r="73" spans="1:23" ht="40.5">
      <c r="A73" s="13">
        <v>70</v>
      </c>
      <c r="B73" s="14" t="s">
        <v>184</v>
      </c>
      <c r="C73" s="18" t="s">
        <v>84</v>
      </c>
      <c r="D73" s="19" t="s">
        <v>131</v>
      </c>
      <c r="E73" s="17">
        <v>20</v>
      </c>
      <c r="F73" s="17" t="s">
        <v>117</v>
      </c>
      <c r="G73" s="17" t="s">
        <v>283</v>
      </c>
      <c r="H73" s="17" t="s">
        <v>364</v>
      </c>
      <c r="I73" s="17" t="s">
        <v>595</v>
      </c>
      <c r="J73" s="17">
        <v>143</v>
      </c>
      <c r="K73" s="17">
        <v>20</v>
      </c>
      <c r="L73" s="17">
        <v>80</v>
      </c>
      <c r="M73" s="17">
        <v>71</v>
      </c>
      <c r="N73" s="17">
        <v>163</v>
      </c>
      <c r="O73" s="17">
        <v>40</v>
      </c>
      <c r="P73" s="24">
        <v>0.185</v>
      </c>
      <c r="Q73" s="24">
        <v>0.15</v>
      </c>
      <c r="R73" s="24">
        <v>0.31</v>
      </c>
      <c r="S73" s="24">
        <v>0.625</v>
      </c>
      <c r="T73" s="17" t="s">
        <v>355</v>
      </c>
      <c r="U73" s="17" t="s">
        <v>452</v>
      </c>
      <c r="V73" s="17" t="s">
        <v>439</v>
      </c>
      <c r="W73" s="17" t="s">
        <v>444</v>
      </c>
    </row>
    <row r="74" spans="1:23">
      <c r="A74" s="13">
        <v>71</v>
      </c>
      <c r="B74" s="14" t="s">
        <v>185</v>
      </c>
      <c r="C74" s="18" t="s">
        <v>84</v>
      </c>
      <c r="D74" s="16" t="s">
        <v>116</v>
      </c>
      <c r="E74" s="17">
        <v>21</v>
      </c>
      <c r="F74" s="17" t="s">
        <v>68</v>
      </c>
      <c r="G74" s="17" t="s">
        <v>69</v>
      </c>
      <c r="H74" s="17" t="s">
        <v>364</v>
      </c>
      <c r="I74" s="17" t="s">
        <v>111</v>
      </c>
      <c r="J74" s="17">
        <v>144</v>
      </c>
      <c r="K74" s="17">
        <v>106</v>
      </c>
      <c r="L74" s="17">
        <v>77</v>
      </c>
      <c r="M74" s="17">
        <v>82</v>
      </c>
      <c r="N74" s="17">
        <v>212</v>
      </c>
      <c r="O74" s="17">
        <v>141</v>
      </c>
      <c r="P74" s="24">
        <v>0.17699999999999999</v>
      </c>
      <c r="Q74" s="24">
        <v>0.15</v>
      </c>
      <c r="R74" s="24">
        <v>0.31</v>
      </c>
      <c r="S74" s="24">
        <v>0.625</v>
      </c>
      <c r="T74" s="17" t="s">
        <v>596</v>
      </c>
      <c r="U74" s="17" t="s">
        <v>597</v>
      </c>
      <c r="V74" s="17" t="s">
        <v>591</v>
      </c>
      <c r="W74" s="17" t="s">
        <v>598</v>
      </c>
    </row>
    <row r="75" spans="1:23" ht="27">
      <c r="A75" s="13">
        <v>72</v>
      </c>
      <c r="B75" s="14" t="s">
        <v>186</v>
      </c>
      <c r="C75" s="18" t="s">
        <v>84</v>
      </c>
      <c r="D75" s="16" t="s">
        <v>116</v>
      </c>
      <c r="E75" s="17">
        <v>19</v>
      </c>
      <c r="F75" s="17" t="s">
        <v>87</v>
      </c>
      <c r="G75" s="17" t="s">
        <v>87</v>
      </c>
      <c r="H75" s="17" t="s">
        <v>364</v>
      </c>
      <c r="I75" s="17" t="s">
        <v>111</v>
      </c>
      <c r="J75" s="17">
        <v>89</v>
      </c>
      <c r="K75" s="17">
        <v>30</v>
      </c>
      <c r="L75" s="17">
        <v>111</v>
      </c>
      <c r="M75" s="17">
        <v>78</v>
      </c>
      <c r="N75" s="17">
        <v>47</v>
      </c>
      <c r="O75" s="17">
        <v>111</v>
      </c>
      <c r="P75" s="24">
        <v>0.19500000000000001</v>
      </c>
      <c r="Q75" s="24">
        <v>0.15</v>
      </c>
      <c r="R75" s="24">
        <v>0.31</v>
      </c>
      <c r="S75" s="24">
        <v>0.625</v>
      </c>
      <c r="T75" s="17" t="s">
        <v>429</v>
      </c>
      <c r="U75" s="17" t="s">
        <v>599</v>
      </c>
      <c r="V75" s="17" t="s">
        <v>600</v>
      </c>
      <c r="W75" s="17" t="s">
        <v>601</v>
      </c>
    </row>
    <row r="76" spans="1:23" ht="27">
      <c r="A76" s="13">
        <v>73</v>
      </c>
      <c r="B76" s="14" t="s">
        <v>187</v>
      </c>
      <c r="C76" s="18" t="s">
        <v>84</v>
      </c>
      <c r="D76" s="16" t="s">
        <v>116</v>
      </c>
      <c r="E76" s="17">
        <v>19</v>
      </c>
      <c r="F76" s="17" t="s">
        <v>117</v>
      </c>
      <c r="G76" s="17" t="s">
        <v>267</v>
      </c>
      <c r="H76" s="17" t="s">
        <v>364</v>
      </c>
      <c r="I76" s="17" t="s">
        <v>590</v>
      </c>
      <c r="J76" s="17">
        <v>131</v>
      </c>
      <c r="K76" s="17">
        <v>66</v>
      </c>
      <c r="L76" s="17">
        <v>87</v>
      </c>
      <c r="M76" s="17">
        <v>60</v>
      </c>
      <c r="N76" s="17">
        <v>76</v>
      </c>
      <c r="O76" s="17">
        <v>49</v>
      </c>
      <c r="P76" s="24">
        <v>0.19500000000000001</v>
      </c>
      <c r="Q76" s="24">
        <v>0.15</v>
      </c>
      <c r="R76" s="24">
        <v>0.31</v>
      </c>
      <c r="S76" s="24">
        <v>0.625</v>
      </c>
      <c r="T76" s="17" t="s">
        <v>586</v>
      </c>
      <c r="U76" s="17" t="s">
        <v>602</v>
      </c>
      <c r="V76" s="17" t="s">
        <v>591</v>
      </c>
      <c r="W76" s="17" t="s">
        <v>603</v>
      </c>
    </row>
    <row r="77" spans="1:23">
      <c r="A77" s="13">
        <v>74</v>
      </c>
      <c r="B77" s="14" t="s">
        <v>188</v>
      </c>
      <c r="C77" s="18" t="s">
        <v>84</v>
      </c>
      <c r="D77" s="16" t="s">
        <v>116</v>
      </c>
      <c r="E77" s="17">
        <v>21</v>
      </c>
      <c r="F77" s="17" t="s">
        <v>148</v>
      </c>
      <c r="G77" s="17" t="s">
        <v>284</v>
      </c>
      <c r="H77" s="17" t="s">
        <v>364</v>
      </c>
      <c r="I77" s="17" t="s">
        <v>498</v>
      </c>
      <c r="J77" s="17">
        <v>199</v>
      </c>
      <c r="K77" s="17">
        <v>95</v>
      </c>
      <c r="L77" s="17">
        <v>86</v>
      </c>
      <c r="M77" s="17">
        <v>53</v>
      </c>
      <c r="N77" s="17">
        <v>101</v>
      </c>
      <c r="O77" s="17">
        <v>21</v>
      </c>
      <c r="P77" s="24">
        <v>0.17699999999999999</v>
      </c>
      <c r="Q77" s="24">
        <v>0.15</v>
      </c>
      <c r="R77" s="24">
        <v>0.31</v>
      </c>
      <c r="S77" s="24">
        <v>0.625</v>
      </c>
      <c r="T77" s="17" t="s">
        <v>591</v>
      </c>
      <c r="U77" s="17" t="s">
        <v>452</v>
      </c>
      <c r="V77" s="17" t="s">
        <v>604</v>
      </c>
      <c r="W77" s="17" t="s">
        <v>605</v>
      </c>
    </row>
    <row r="78" spans="1:23" ht="54">
      <c r="A78" s="13">
        <v>75</v>
      </c>
      <c r="B78" s="14" t="s">
        <v>189</v>
      </c>
      <c r="C78" s="16" t="s">
        <v>144</v>
      </c>
      <c r="D78" s="16" t="s">
        <v>116</v>
      </c>
      <c r="E78" s="17">
        <v>30</v>
      </c>
      <c r="F78" s="17" t="s">
        <v>190</v>
      </c>
      <c r="G78" s="17" t="s">
        <v>285</v>
      </c>
      <c r="H78" s="17" t="s">
        <v>364</v>
      </c>
      <c r="I78" s="17" t="s">
        <v>610</v>
      </c>
      <c r="J78" s="17">
        <v>185</v>
      </c>
      <c r="K78" s="17">
        <v>49</v>
      </c>
      <c r="L78" s="17">
        <v>120</v>
      </c>
      <c r="M78" s="17">
        <v>93</v>
      </c>
      <c r="N78" s="17">
        <v>71</v>
      </c>
      <c r="O78" s="17">
        <v>56</v>
      </c>
      <c r="P78" s="24">
        <v>7.2999999999999995E-2</v>
      </c>
      <c r="Q78" s="24">
        <v>0.09</v>
      </c>
      <c r="R78" s="24">
        <v>0.186</v>
      </c>
      <c r="S78" s="24">
        <v>0.375</v>
      </c>
      <c r="T78" s="17" t="s">
        <v>606</v>
      </c>
      <c r="U78" s="17" t="s">
        <v>607</v>
      </c>
      <c r="V78" s="17" t="s">
        <v>608</v>
      </c>
      <c r="W78" s="17" t="s">
        <v>609</v>
      </c>
    </row>
    <row r="79" spans="1:23">
      <c r="A79" s="13">
        <v>76</v>
      </c>
      <c r="B79" s="14" t="s">
        <v>191</v>
      </c>
      <c r="C79" s="18" t="s">
        <v>84</v>
      </c>
      <c r="D79" s="16" t="s">
        <v>116</v>
      </c>
      <c r="E79" s="17">
        <v>19</v>
      </c>
      <c r="F79" s="17" t="s">
        <v>183</v>
      </c>
      <c r="G79" s="17" t="s">
        <v>282</v>
      </c>
      <c r="H79" s="17" t="s">
        <v>614</v>
      </c>
      <c r="I79" s="17" t="s">
        <v>615</v>
      </c>
      <c r="J79" s="17">
        <v>73</v>
      </c>
      <c r="K79" s="17">
        <v>30</v>
      </c>
      <c r="L79" s="17">
        <v>73</v>
      </c>
      <c r="M79" s="17">
        <v>137</v>
      </c>
      <c r="N79" s="17">
        <v>51</v>
      </c>
      <c r="O79" s="17">
        <v>62</v>
      </c>
      <c r="P79" s="24">
        <v>0.19500000000000001</v>
      </c>
      <c r="Q79" s="24">
        <v>0.15</v>
      </c>
      <c r="R79" s="24">
        <v>0.31</v>
      </c>
      <c r="S79" s="24">
        <v>0.625</v>
      </c>
      <c r="T79" s="17" t="s">
        <v>361</v>
      </c>
      <c r="U79" s="17" t="s">
        <v>611</v>
      </c>
      <c r="V79" s="17" t="s">
        <v>352</v>
      </c>
      <c r="W79" s="17" t="s">
        <v>612</v>
      </c>
    </row>
    <row r="80" spans="1:23" ht="27">
      <c r="A80" s="13">
        <v>77</v>
      </c>
      <c r="B80" s="14" t="s">
        <v>192</v>
      </c>
      <c r="C80" s="16" t="s">
        <v>144</v>
      </c>
      <c r="D80" s="16" t="s">
        <v>116</v>
      </c>
      <c r="E80" s="17">
        <v>26</v>
      </c>
      <c r="F80" s="17" t="s">
        <v>117</v>
      </c>
      <c r="G80" s="17" t="s">
        <v>260</v>
      </c>
      <c r="H80" s="17" t="s">
        <v>614</v>
      </c>
      <c r="I80" s="17" t="s">
        <v>622</v>
      </c>
      <c r="J80" s="17">
        <v>137</v>
      </c>
      <c r="K80" s="17">
        <v>22</v>
      </c>
      <c r="L80" s="17">
        <v>106</v>
      </c>
      <c r="M80" s="17">
        <v>83</v>
      </c>
      <c r="N80" s="17">
        <v>106</v>
      </c>
      <c r="O80" s="17">
        <v>53</v>
      </c>
      <c r="P80" s="24">
        <v>8.5000000000000006E-2</v>
      </c>
      <c r="Q80" s="24">
        <v>0.09</v>
      </c>
      <c r="R80" s="24">
        <v>0.186</v>
      </c>
      <c r="S80" s="24">
        <v>0.375</v>
      </c>
      <c r="T80" s="17" t="s">
        <v>355</v>
      </c>
      <c r="U80" s="17" t="s">
        <v>616</v>
      </c>
      <c r="V80" s="17" t="s">
        <v>617</v>
      </c>
      <c r="W80" s="17" t="s">
        <v>618</v>
      </c>
    </row>
    <row r="81" spans="1:23" ht="40.5">
      <c r="A81" s="13">
        <v>78</v>
      </c>
      <c r="B81" s="14" t="s">
        <v>193</v>
      </c>
      <c r="C81" s="16" t="s">
        <v>144</v>
      </c>
      <c r="D81" s="16" t="s">
        <v>116</v>
      </c>
      <c r="E81" s="17">
        <v>27</v>
      </c>
      <c r="F81" s="17" t="s">
        <v>117</v>
      </c>
      <c r="G81" s="17" t="s">
        <v>286</v>
      </c>
      <c r="H81" s="17" t="s">
        <v>614</v>
      </c>
      <c r="I81" s="17" t="s">
        <v>623</v>
      </c>
      <c r="J81" s="17">
        <v>94</v>
      </c>
      <c r="K81" s="17">
        <v>49</v>
      </c>
      <c r="L81" s="17">
        <v>109</v>
      </c>
      <c r="M81" s="17">
        <v>123</v>
      </c>
      <c r="N81" s="17">
        <v>99</v>
      </c>
      <c r="O81" s="17">
        <v>74</v>
      </c>
      <c r="P81" s="24">
        <v>8.2000000000000003E-2</v>
      </c>
      <c r="Q81" s="24">
        <v>0.09</v>
      </c>
      <c r="R81" s="24">
        <v>0.186</v>
      </c>
      <c r="S81" s="24">
        <v>0.375</v>
      </c>
      <c r="T81" s="17" t="s">
        <v>619</v>
      </c>
      <c r="U81" s="17" t="s">
        <v>620</v>
      </c>
      <c r="V81" s="17" t="s">
        <v>352</v>
      </c>
      <c r="W81" s="17" t="s">
        <v>621</v>
      </c>
    </row>
    <row r="82" spans="1:23" ht="27">
      <c r="A82" s="13">
        <v>79</v>
      </c>
      <c r="B82" s="14" t="s">
        <v>194</v>
      </c>
      <c r="C82" s="16" t="s">
        <v>144</v>
      </c>
      <c r="D82" s="16" t="s">
        <v>116</v>
      </c>
      <c r="E82" s="17">
        <v>31</v>
      </c>
      <c r="F82" s="17" t="s">
        <v>195</v>
      </c>
      <c r="G82" s="17" t="s">
        <v>195</v>
      </c>
      <c r="H82" s="17" t="s">
        <v>614</v>
      </c>
      <c r="I82" s="17" t="s">
        <v>627</v>
      </c>
      <c r="J82" s="17">
        <v>214</v>
      </c>
      <c r="K82" s="17">
        <v>86</v>
      </c>
      <c r="L82" s="17">
        <v>62</v>
      </c>
      <c r="M82" s="17">
        <v>137</v>
      </c>
      <c r="N82" s="17">
        <v>104</v>
      </c>
      <c r="O82" s="17">
        <v>150</v>
      </c>
      <c r="P82" s="24">
        <v>7.0999999999999994E-2</v>
      </c>
      <c r="Q82" s="24">
        <v>0.09</v>
      </c>
      <c r="R82" s="24">
        <v>0.186</v>
      </c>
      <c r="S82" s="24">
        <v>0.375</v>
      </c>
      <c r="T82" s="17" t="s">
        <v>624</v>
      </c>
      <c r="U82" s="17" t="s">
        <v>611</v>
      </c>
      <c r="V82" s="17" t="s">
        <v>625</v>
      </c>
      <c r="W82" s="17" t="s">
        <v>626</v>
      </c>
    </row>
    <row r="83" spans="1:23" ht="54">
      <c r="A83" s="13">
        <v>80</v>
      </c>
      <c r="B83" s="14" t="s">
        <v>196</v>
      </c>
      <c r="C83" s="16" t="s">
        <v>144</v>
      </c>
      <c r="D83" s="16" t="s">
        <v>116</v>
      </c>
      <c r="E83" s="17">
        <v>29</v>
      </c>
      <c r="F83" s="17" t="s">
        <v>197</v>
      </c>
      <c r="G83" s="17" t="s">
        <v>287</v>
      </c>
      <c r="H83" s="17" t="s">
        <v>614</v>
      </c>
      <c r="I83" s="17" t="s">
        <v>631</v>
      </c>
      <c r="J83" s="17">
        <v>31</v>
      </c>
      <c r="K83" s="17">
        <v>39</v>
      </c>
      <c r="L83" s="17">
        <v>36</v>
      </c>
      <c r="M83" s="17">
        <v>499</v>
      </c>
      <c r="N83" s="17">
        <v>352</v>
      </c>
      <c r="O83" s="17">
        <v>45</v>
      </c>
      <c r="P83" s="24">
        <v>7.5999999999999998E-2</v>
      </c>
      <c r="Q83" s="24">
        <v>0.09</v>
      </c>
      <c r="R83" s="24">
        <v>0.186</v>
      </c>
      <c r="S83" s="24">
        <v>0.375</v>
      </c>
      <c r="T83" s="17" t="s">
        <v>628</v>
      </c>
      <c r="U83" s="17" t="s">
        <v>629</v>
      </c>
      <c r="V83" s="17" t="s">
        <v>355</v>
      </c>
      <c r="W83" s="17" t="s">
        <v>630</v>
      </c>
    </row>
    <row r="84" spans="1:23">
      <c r="A84" s="13">
        <v>81</v>
      </c>
      <c r="B84" s="14" t="s">
        <v>198</v>
      </c>
      <c r="C84" s="18" t="s">
        <v>84</v>
      </c>
      <c r="D84" s="16" t="s">
        <v>116</v>
      </c>
      <c r="E84" s="17">
        <v>19</v>
      </c>
      <c r="F84" s="17" t="s">
        <v>199</v>
      </c>
      <c r="G84" s="17" t="s">
        <v>199</v>
      </c>
      <c r="H84" s="17" t="s">
        <v>614</v>
      </c>
      <c r="I84" s="17" t="s">
        <v>635</v>
      </c>
      <c r="J84" s="17">
        <v>88</v>
      </c>
      <c r="K84" s="17">
        <v>44</v>
      </c>
      <c r="L84" s="17">
        <v>96</v>
      </c>
      <c r="M84" s="17">
        <v>91</v>
      </c>
      <c r="N84" s="17">
        <v>40</v>
      </c>
      <c r="O84" s="17">
        <v>24</v>
      </c>
      <c r="P84" s="24">
        <v>0.19500000000000001</v>
      </c>
      <c r="Q84" s="24">
        <v>0.15</v>
      </c>
      <c r="R84" s="24">
        <v>0.31</v>
      </c>
      <c r="S84" s="24">
        <v>0.625</v>
      </c>
      <c r="T84" s="17" t="s">
        <v>355</v>
      </c>
      <c r="U84" s="17" t="s">
        <v>632</v>
      </c>
      <c r="V84" s="17" t="s">
        <v>633</v>
      </c>
      <c r="W84" s="17" t="s">
        <v>634</v>
      </c>
    </row>
    <row r="85" spans="1:23" ht="27">
      <c r="A85" s="13">
        <v>82</v>
      </c>
      <c r="B85" s="14" t="s">
        <v>152</v>
      </c>
      <c r="C85" s="16" t="s">
        <v>144</v>
      </c>
      <c r="D85" s="16" t="s">
        <v>116</v>
      </c>
      <c r="E85" s="17">
        <v>32</v>
      </c>
      <c r="F85" s="17" t="s">
        <v>200</v>
      </c>
      <c r="G85" s="17" t="s">
        <v>200</v>
      </c>
      <c r="H85" s="17" t="s">
        <v>614</v>
      </c>
      <c r="I85" s="17" t="s">
        <v>638</v>
      </c>
      <c r="J85" s="17">
        <v>201</v>
      </c>
      <c r="K85" s="17">
        <v>31</v>
      </c>
      <c r="L85" s="17">
        <v>118</v>
      </c>
      <c r="M85" s="17">
        <v>82</v>
      </c>
      <c r="N85" s="17">
        <v>74</v>
      </c>
      <c r="O85" s="17">
        <v>67</v>
      </c>
      <c r="P85" s="24">
        <v>6.9000000000000006E-2</v>
      </c>
      <c r="Q85" s="24">
        <v>0.09</v>
      </c>
      <c r="R85" s="24">
        <v>0.186</v>
      </c>
      <c r="S85" s="24">
        <v>0.375</v>
      </c>
      <c r="T85" s="17" t="s">
        <v>355</v>
      </c>
      <c r="U85" s="17" t="s">
        <v>636</v>
      </c>
      <c r="V85" s="17" t="s">
        <v>637</v>
      </c>
      <c r="W85" s="17" t="s">
        <v>634</v>
      </c>
    </row>
    <row r="86" spans="1:23" ht="27">
      <c r="A86" s="13">
        <v>83</v>
      </c>
      <c r="B86" s="14" t="s">
        <v>201</v>
      </c>
      <c r="C86" s="18" t="s">
        <v>84</v>
      </c>
      <c r="D86" s="16" t="s">
        <v>116</v>
      </c>
      <c r="E86" s="17">
        <v>21</v>
      </c>
      <c r="F86" s="17" t="s">
        <v>117</v>
      </c>
      <c r="G86" s="17" t="s">
        <v>265</v>
      </c>
      <c r="H86" s="17" t="s">
        <v>614</v>
      </c>
      <c r="I86" s="17" t="s">
        <v>640</v>
      </c>
      <c r="J86" s="17">
        <v>135</v>
      </c>
      <c r="K86" s="17">
        <v>25</v>
      </c>
      <c r="L86" s="17">
        <v>82</v>
      </c>
      <c r="M86" s="17">
        <v>76</v>
      </c>
      <c r="N86" s="17">
        <v>82</v>
      </c>
      <c r="O86" s="17">
        <v>60</v>
      </c>
      <c r="P86" s="24">
        <v>0.17699999999999999</v>
      </c>
      <c r="Q86" s="24">
        <v>0.15</v>
      </c>
      <c r="R86" s="24">
        <v>0.31</v>
      </c>
      <c r="S86" s="24">
        <v>0.625</v>
      </c>
      <c r="T86" s="17" t="s">
        <v>355</v>
      </c>
      <c r="U86" s="17" t="s">
        <v>639</v>
      </c>
      <c r="V86" s="17" t="s">
        <v>387</v>
      </c>
      <c r="W86" s="17" t="s">
        <v>377</v>
      </c>
    </row>
    <row r="87" spans="1:23" ht="27">
      <c r="A87" s="13">
        <v>84</v>
      </c>
      <c r="B87" s="14" t="s">
        <v>202</v>
      </c>
      <c r="C87" s="18" t="s">
        <v>84</v>
      </c>
      <c r="D87" s="16" t="s">
        <v>116</v>
      </c>
      <c r="E87" s="17">
        <v>20</v>
      </c>
      <c r="F87" s="17" t="s">
        <v>136</v>
      </c>
      <c r="G87" s="17" t="s">
        <v>271</v>
      </c>
      <c r="H87" s="17" t="s">
        <v>614</v>
      </c>
      <c r="I87" s="17" t="s">
        <v>644</v>
      </c>
      <c r="J87" s="17">
        <v>110</v>
      </c>
      <c r="K87" s="17">
        <v>26</v>
      </c>
      <c r="L87" s="17">
        <v>90</v>
      </c>
      <c r="M87" s="17">
        <v>80</v>
      </c>
      <c r="N87" s="17">
        <v>123</v>
      </c>
      <c r="O87" s="17">
        <v>65</v>
      </c>
      <c r="P87" s="24">
        <v>0.185</v>
      </c>
      <c r="Q87" s="24">
        <v>0.15</v>
      </c>
      <c r="R87" s="24">
        <v>0.31</v>
      </c>
      <c r="S87" s="24">
        <v>0.625</v>
      </c>
      <c r="T87" s="17" t="s">
        <v>355</v>
      </c>
      <c r="U87" s="17" t="s">
        <v>641</v>
      </c>
      <c r="V87" s="17" t="s">
        <v>642</v>
      </c>
      <c r="W87" s="17" t="s">
        <v>643</v>
      </c>
    </row>
    <row r="88" spans="1:23">
      <c r="A88" s="13">
        <v>85</v>
      </c>
      <c r="B88" s="14" t="s">
        <v>203</v>
      </c>
      <c r="C88" s="16" t="s">
        <v>144</v>
      </c>
      <c r="D88" s="16" t="s">
        <v>116</v>
      </c>
      <c r="E88" s="17">
        <v>25</v>
      </c>
      <c r="F88" s="17" t="s">
        <v>190</v>
      </c>
      <c r="G88" s="17" t="s">
        <v>190</v>
      </c>
      <c r="H88" s="17" t="s">
        <v>614</v>
      </c>
      <c r="I88" s="17" t="s">
        <v>648</v>
      </c>
      <c r="J88" s="17">
        <v>157</v>
      </c>
      <c r="K88" s="17">
        <v>78</v>
      </c>
      <c r="L88" s="17">
        <v>110</v>
      </c>
      <c r="M88" s="17">
        <v>69</v>
      </c>
      <c r="N88" s="17">
        <v>230</v>
      </c>
      <c r="O88" s="17">
        <v>68</v>
      </c>
      <c r="P88" s="24">
        <v>8.7999999999999995E-2</v>
      </c>
      <c r="Q88" s="24">
        <v>0.09</v>
      </c>
      <c r="R88" s="24">
        <v>0.186</v>
      </c>
      <c r="S88" s="24">
        <v>0.375</v>
      </c>
      <c r="T88" s="17" t="s">
        <v>355</v>
      </c>
      <c r="U88" s="17" t="s">
        <v>645</v>
      </c>
      <c r="V88" s="17" t="s">
        <v>646</v>
      </c>
      <c r="W88" s="17" t="s">
        <v>647</v>
      </c>
    </row>
    <row r="89" spans="1:23" ht="27">
      <c r="A89" s="13">
        <v>86</v>
      </c>
      <c r="B89" s="14" t="s">
        <v>204</v>
      </c>
      <c r="C89" s="16" t="s">
        <v>144</v>
      </c>
      <c r="D89" s="16" t="s">
        <v>116</v>
      </c>
      <c r="E89" s="17">
        <v>25</v>
      </c>
      <c r="F89" s="17" t="s">
        <v>205</v>
      </c>
      <c r="G89" s="17" t="s">
        <v>205</v>
      </c>
      <c r="H89" s="17" t="s">
        <v>614</v>
      </c>
      <c r="I89" s="17" t="s">
        <v>651</v>
      </c>
      <c r="J89" s="17">
        <v>165</v>
      </c>
      <c r="K89" s="17">
        <v>81</v>
      </c>
      <c r="L89" s="17">
        <v>96</v>
      </c>
      <c r="M89" s="17">
        <v>91</v>
      </c>
      <c r="N89" s="17">
        <v>47</v>
      </c>
      <c r="O89" s="17">
        <v>38</v>
      </c>
      <c r="P89" s="24">
        <v>8.7999999999999995E-2</v>
      </c>
      <c r="Q89" s="24">
        <v>0.09</v>
      </c>
      <c r="R89" s="24">
        <v>0.186</v>
      </c>
      <c r="S89" s="24">
        <v>0.375</v>
      </c>
      <c r="T89" s="17" t="s">
        <v>355</v>
      </c>
      <c r="U89" s="17" t="s">
        <v>649</v>
      </c>
      <c r="V89" s="17" t="s">
        <v>650</v>
      </c>
      <c r="W89" s="17" t="s">
        <v>377</v>
      </c>
    </row>
    <row r="90" spans="1:23" ht="27">
      <c r="A90" s="13">
        <v>87</v>
      </c>
      <c r="B90" s="14" t="s">
        <v>206</v>
      </c>
      <c r="C90" s="16" t="s">
        <v>144</v>
      </c>
      <c r="D90" s="16" t="s">
        <v>116</v>
      </c>
      <c r="E90" s="17">
        <v>26</v>
      </c>
      <c r="F90" s="17" t="s">
        <v>207</v>
      </c>
      <c r="G90" s="17" t="s">
        <v>207</v>
      </c>
      <c r="H90" s="17" t="s">
        <v>614</v>
      </c>
      <c r="I90" s="17" t="s">
        <v>622</v>
      </c>
      <c r="J90" s="17">
        <v>165</v>
      </c>
      <c r="K90" s="17">
        <v>66</v>
      </c>
      <c r="L90" s="17">
        <v>90</v>
      </c>
      <c r="M90" s="17">
        <v>105</v>
      </c>
      <c r="N90" s="17">
        <v>81</v>
      </c>
      <c r="O90" s="17">
        <v>81</v>
      </c>
      <c r="P90" s="24">
        <v>8.5000000000000006E-2</v>
      </c>
      <c r="Q90" s="24">
        <v>0.09</v>
      </c>
      <c r="R90" s="24">
        <v>0.186</v>
      </c>
      <c r="S90" s="24">
        <v>0.375</v>
      </c>
      <c r="T90" s="17" t="s">
        <v>365</v>
      </c>
      <c r="U90" s="17" t="s">
        <v>652</v>
      </c>
      <c r="V90" s="17" t="s">
        <v>67</v>
      </c>
      <c r="W90" s="17" t="s">
        <v>653</v>
      </c>
    </row>
    <row r="91" spans="1:23" ht="27">
      <c r="A91" s="13">
        <v>88</v>
      </c>
      <c r="B91" s="14" t="s">
        <v>208</v>
      </c>
      <c r="C91" s="16" t="s">
        <v>144</v>
      </c>
      <c r="D91" s="20" t="s">
        <v>132</v>
      </c>
      <c r="E91" s="17">
        <v>28</v>
      </c>
      <c r="F91" s="17" t="s">
        <v>148</v>
      </c>
      <c r="G91" s="17" t="s">
        <v>148</v>
      </c>
      <c r="H91" s="17" t="s">
        <v>614</v>
      </c>
      <c r="I91" s="17" t="s">
        <v>656</v>
      </c>
      <c r="J91" s="17">
        <v>119</v>
      </c>
      <c r="K91" s="17">
        <v>238</v>
      </c>
      <c r="L91" s="17">
        <v>123</v>
      </c>
      <c r="M91" s="17">
        <v>75</v>
      </c>
      <c r="N91" s="17">
        <v>99</v>
      </c>
      <c r="O91" s="17">
        <v>182</v>
      </c>
      <c r="P91" s="24">
        <v>7.9000000000000001E-2</v>
      </c>
      <c r="Q91" s="24">
        <v>0.09</v>
      </c>
      <c r="R91" s="24">
        <v>0.186</v>
      </c>
      <c r="S91" s="24">
        <v>0.375</v>
      </c>
      <c r="T91" s="17" t="s">
        <v>355</v>
      </c>
      <c r="U91" s="17" t="s">
        <v>654</v>
      </c>
      <c r="V91" s="17" t="s">
        <v>655</v>
      </c>
      <c r="W91" s="17" t="s">
        <v>377</v>
      </c>
    </row>
    <row r="92" spans="1:23" ht="40.5">
      <c r="A92" s="13">
        <v>89</v>
      </c>
      <c r="B92" s="14" t="s">
        <v>209</v>
      </c>
      <c r="C92" s="18" t="s">
        <v>84</v>
      </c>
      <c r="D92" s="19" t="s">
        <v>131</v>
      </c>
      <c r="E92" s="17">
        <v>21</v>
      </c>
      <c r="F92" s="17" t="s">
        <v>160</v>
      </c>
      <c r="G92" s="17" t="s">
        <v>160</v>
      </c>
      <c r="H92" s="17" t="s">
        <v>614</v>
      </c>
      <c r="I92" s="17" t="s">
        <v>660</v>
      </c>
      <c r="J92" s="17">
        <v>89</v>
      </c>
      <c r="K92" s="17">
        <v>81</v>
      </c>
      <c r="L92" s="17">
        <v>89</v>
      </c>
      <c r="M92" s="17">
        <v>89</v>
      </c>
      <c r="N92" s="17">
        <v>97</v>
      </c>
      <c r="O92" s="17">
        <v>111</v>
      </c>
      <c r="P92" s="24">
        <v>0.17699999999999999</v>
      </c>
      <c r="Q92" s="24">
        <v>0.15</v>
      </c>
      <c r="R92" s="24">
        <v>0.31</v>
      </c>
      <c r="S92" s="24">
        <v>0.625</v>
      </c>
      <c r="T92" s="17" t="s">
        <v>365</v>
      </c>
      <c r="U92" s="17" t="s">
        <v>657</v>
      </c>
      <c r="V92" s="17" t="s">
        <v>658</v>
      </c>
      <c r="W92" s="17" t="s">
        <v>659</v>
      </c>
    </row>
    <row r="93" spans="1:23">
      <c r="A93" s="13">
        <v>90</v>
      </c>
      <c r="B93" s="14" t="s">
        <v>210</v>
      </c>
      <c r="C93" s="18" t="s">
        <v>84</v>
      </c>
      <c r="D93" s="20" t="s">
        <v>132</v>
      </c>
      <c r="E93" s="17">
        <v>20</v>
      </c>
      <c r="F93" s="17" t="s">
        <v>117</v>
      </c>
      <c r="G93" s="17" t="s">
        <v>67</v>
      </c>
      <c r="H93" s="17" t="s">
        <v>614</v>
      </c>
      <c r="I93" s="17" t="s">
        <v>615</v>
      </c>
      <c r="J93" s="17">
        <v>108</v>
      </c>
      <c r="K93" s="17">
        <v>85</v>
      </c>
      <c r="L93" s="17">
        <v>82</v>
      </c>
      <c r="M93" s="17">
        <v>89</v>
      </c>
      <c r="N93" s="17">
        <v>89</v>
      </c>
      <c r="O93" s="17">
        <v>42</v>
      </c>
      <c r="P93" s="24">
        <v>0.185</v>
      </c>
      <c r="Q93" s="24">
        <v>0.15</v>
      </c>
      <c r="R93" s="24">
        <v>0.31</v>
      </c>
      <c r="S93" s="24">
        <v>0.625</v>
      </c>
      <c r="T93" s="17" t="s">
        <v>429</v>
      </c>
      <c r="U93" s="17" t="s">
        <v>661</v>
      </c>
      <c r="V93" s="17" t="s">
        <v>662</v>
      </c>
      <c r="W93" s="17" t="s">
        <v>663</v>
      </c>
    </row>
    <row r="94" spans="1:23" ht="40.5">
      <c r="A94" s="13">
        <v>91</v>
      </c>
      <c r="B94" s="14" t="s">
        <v>211</v>
      </c>
      <c r="C94" s="16" t="s">
        <v>144</v>
      </c>
      <c r="D94" s="19" t="s">
        <v>131</v>
      </c>
      <c r="E94" s="17">
        <v>28</v>
      </c>
      <c r="F94" s="17" t="s">
        <v>117</v>
      </c>
      <c r="G94" s="17" t="s">
        <v>258</v>
      </c>
      <c r="H94" s="17" t="s">
        <v>614</v>
      </c>
      <c r="I94" s="17" t="s">
        <v>667</v>
      </c>
      <c r="J94" s="17">
        <v>99</v>
      </c>
      <c r="K94" s="17">
        <v>47</v>
      </c>
      <c r="L94" s="17">
        <v>123</v>
      </c>
      <c r="M94" s="17">
        <v>94</v>
      </c>
      <c r="N94" s="17">
        <v>146</v>
      </c>
      <c r="O94" s="17">
        <v>156</v>
      </c>
      <c r="P94" s="24">
        <v>7.9000000000000001E-2</v>
      </c>
      <c r="Q94" s="24">
        <v>0.09</v>
      </c>
      <c r="R94" s="24">
        <v>0.186</v>
      </c>
      <c r="S94" s="24">
        <v>0.375</v>
      </c>
      <c r="T94" s="17" t="s">
        <v>365</v>
      </c>
      <c r="U94" s="17" t="s">
        <v>664</v>
      </c>
      <c r="V94" s="17" t="s">
        <v>665</v>
      </c>
      <c r="W94" s="17" t="s">
        <v>666</v>
      </c>
    </row>
    <row r="95" spans="1:23">
      <c r="A95" s="13">
        <v>92</v>
      </c>
      <c r="B95" s="14" t="s">
        <v>212</v>
      </c>
      <c r="C95" s="16" t="s">
        <v>144</v>
      </c>
      <c r="D95" s="16" t="s">
        <v>116</v>
      </c>
      <c r="E95" s="17">
        <v>29</v>
      </c>
      <c r="F95" s="17" t="s">
        <v>213</v>
      </c>
      <c r="G95" s="17" t="s">
        <v>288</v>
      </c>
      <c r="H95" s="17" t="s">
        <v>614</v>
      </c>
      <c r="I95" s="17" t="s">
        <v>671</v>
      </c>
      <c r="J95" s="17">
        <v>248</v>
      </c>
      <c r="K95" s="17">
        <v>117</v>
      </c>
      <c r="L95" s="17">
        <v>83</v>
      </c>
      <c r="M95" s="17">
        <v>58</v>
      </c>
      <c r="N95" s="17">
        <v>37</v>
      </c>
      <c r="O95" s="17">
        <v>37</v>
      </c>
      <c r="P95" s="24">
        <v>7.5999999999999998E-2</v>
      </c>
      <c r="Q95" s="24">
        <v>0.09</v>
      </c>
      <c r="R95" s="24">
        <v>0.186</v>
      </c>
      <c r="S95" s="24">
        <v>0.375</v>
      </c>
      <c r="T95" s="17" t="s">
        <v>355</v>
      </c>
      <c r="U95" s="17" t="s">
        <v>668</v>
      </c>
      <c r="V95" s="17" t="s">
        <v>669</v>
      </c>
      <c r="W95" s="17" t="s">
        <v>670</v>
      </c>
    </row>
    <row r="96" spans="1:23">
      <c r="A96" s="13">
        <v>93</v>
      </c>
      <c r="B96" s="14" t="s">
        <v>214</v>
      </c>
      <c r="C96" s="21" t="s">
        <v>215</v>
      </c>
      <c r="D96" s="16" t="s">
        <v>116</v>
      </c>
      <c r="E96" s="17">
        <v>35</v>
      </c>
      <c r="F96" s="17" t="s">
        <v>117</v>
      </c>
      <c r="G96" s="17" t="s">
        <v>289</v>
      </c>
      <c r="H96" s="17" t="s">
        <v>614</v>
      </c>
      <c r="I96" s="17" t="s">
        <v>635</v>
      </c>
      <c r="J96" s="17">
        <v>185</v>
      </c>
      <c r="K96" s="17">
        <v>46</v>
      </c>
      <c r="L96" s="17">
        <v>111</v>
      </c>
      <c r="M96" s="17">
        <v>82</v>
      </c>
      <c r="N96" s="17">
        <v>41</v>
      </c>
      <c r="O96" s="17">
        <v>61</v>
      </c>
      <c r="P96" s="24">
        <v>4.2000000000000003E-2</v>
      </c>
      <c r="Q96" s="24">
        <v>4.2000000000000003E-2</v>
      </c>
      <c r="R96" s="24">
        <v>8.6999999999999994E-2</v>
      </c>
      <c r="S96" s="24">
        <v>0.17499999999999999</v>
      </c>
      <c r="T96" s="17" t="s">
        <v>365</v>
      </c>
      <c r="U96" s="17" t="s">
        <v>672</v>
      </c>
      <c r="V96" s="17" t="s">
        <v>673</v>
      </c>
      <c r="W96" s="17" t="s">
        <v>674</v>
      </c>
    </row>
    <row r="97" spans="1:23">
      <c r="A97" s="13">
        <v>94</v>
      </c>
      <c r="B97" s="14" t="s">
        <v>216</v>
      </c>
      <c r="C97" s="18" t="s">
        <v>84</v>
      </c>
      <c r="D97" s="16" t="s">
        <v>116</v>
      </c>
      <c r="E97" s="17">
        <v>21</v>
      </c>
      <c r="F97" s="17" t="s">
        <v>140</v>
      </c>
      <c r="G97" s="17" t="s">
        <v>290</v>
      </c>
      <c r="H97" s="17" t="s">
        <v>614</v>
      </c>
      <c r="I97" s="17" t="s">
        <v>635</v>
      </c>
      <c r="J97" s="17">
        <v>123</v>
      </c>
      <c r="K97" s="17">
        <v>62</v>
      </c>
      <c r="L97" s="17">
        <v>78</v>
      </c>
      <c r="M97" s="17">
        <v>97</v>
      </c>
      <c r="N97" s="17">
        <v>84</v>
      </c>
      <c r="O97" s="17">
        <v>94</v>
      </c>
      <c r="P97" s="24">
        <v>0.17699999999999999</v>
      </c>
      <c r="Q97" s="24">
        <v>0.15</v>
      </c>
      <c r="R97" s="24">
        <v>0.31</v>
      </c>
      <c r="S97" s="24">
        <v>0.625</v>
      </c>
      <c r="T97" s="17" t="s">
        <v>355</v>
      </c>
      <c r="U97" s="17" t="s">
        <v>675</v>
      </c>
      <c r="V97" s="17" t="s">
        <v>415</v>
      </c>
      <c r="W97" s="17" t="s">
        <v>416</v>
      </c>
    </row>
    <row r="98" spans="1:23" ht="27">
      <c r="A98" s="13">
        <v>95</v>
      </c>
      <c r="B98" s="14" t="s">
        <v>217</v>
      </c>
      <c r="C98" s="18" t="s">
        <v>84</v>
      </c>
      <c r="D98" s="16" t="s">
        <v>116</v>
      </c>
      <c r="E98" s="17">
        <v>18</v>
      </c>
      <c r="F98" s="17" t="s">
        <v>117</v>
      </c>
      <c r="G98" s="17" t="s">
        <v>260</v>
      </c>
      <c r="H98" s="17" t="s">
        <v>614</v>
      </c>
      <c r="I98" s="17" t="s">
        <v>677</v>
      </c>
      <c r="J98" s="17">
        <v>57</v>
      </c>
      <c r="K98" s="17">
        <v>11</v>
      </c>
      <c r="L98" s="17">
        <v>117</v>
      </c>
      <c r="M98" s="17">
        <v>129</v>
      </c>
      <c r="N98" s="17">
        <v>40</v>
      </c>
      <c r="O98" s="17">
        <v>28</v>
      </c>
      <c r="P98" s="24">
        <v>0.20599999999999999</v>
      </c>
      <c r="Q98" s="24">
        <v>0.15</v>
      </c>
      <c r="R98" s="24">
        <v>0.31</v>
      </c>
      <c r="S98" s="24">
        <v>0.625</v>
      </c>
      <c r="T98" s="17" t="s">
        <v>355</v>
      </c>
      <c r="U98" s="17" t="s">
        <v>414</v>
      </c>
      <c r="V98" s="17" t="s">
        <v>676</v>
      </c>
      <c r="W98" s="17" t="s">
        <v>416</v>
      </c>
    </row>
    <row r="99" spans="1:23">
      <c r="A99" s="13">
        <v>96</v>
      </c>
      <c r="B99" s="14" t="s">
        <v>218</v>
      </c>
      <c r="C99" s="18" t="s">
        <v>84</v>
      </c>
      <c r="D99" s="16" t="s">
        <v>116</v>
      </c>
      <c r="E99" s="17">
        <v>25</v>
      </c>
      <c r="F99" s="17" t="s">
        <v>134</v>
      </c>
      <c r="G99" s="17" t="s">
        <v>270</v>
      </c>
      <c r="H99" s="17" t="s">
        <v>364</v>
      </c>
      <c r="I99" s="17" t="s">
        <v>678</v>
      </c>
      <c r="J99" s="17">
        <v>141</v>
      </c>
      <c r="K99" s="17">
        <v>30</v>
      </c>
      <c r="L99" s="17">
        <v>63</v>
      </c>
      <c r="M99" s="17">
        <v>82</v>
      </c>
      <c r="N99" s="17">
        <v>46</v>
      </c>
      <c r="O99" s="17">
        <v>17</v>
      </c>
      <c r="P99" s="24">
        <v>0.14799999999999999</v>
      </c>
      <c r="Q99" s="24">
        <v>0.15</v>
      </c>
      <c r="R99" s="24">
        <v>0.31</v>
      </c>
      <c r="S99" s="24">
        <v>0.625</v>
      </c>
      <c r="T99" s="17" t="s">
        <v>429</v>
      </c>
      <c r="U99" s="17" t="s">
        <v>414</v>
      </c>
      <c r="V99" s="17" t="s">
        <v>676</v>
      </c>
      <c r="W99" s="17" t="s">
        <v>416</v>
      </c>
    </row>
    <row r="100" spans="1:23" ht="40.5">
      <c r="A100" s="13">
        <v>97</v>
      </c>
      <c r="B100" s="14" t="s">
        <v>219</v>
      </c>
      <c r="C100" s="16" t="s">
        <v>144</v>
      </c>
      <c r="D100" s="16" t="s">
        <v>116</v>
      </c>
      <c r="E100" s="17">
        <v>28</v>
      </c>
      <c r="F100" s="17" t="s">
        <v>220</v>
      </c>
      <c r="G100" s="17" t="s">
        <v>220</v>
      </c>
      <c r="H100" s="17" t="s">
        <v>614</v>
      </c>
      <c r="I100" s="17" t="s">
        <v>682</v>
      </c>
      <c r="J100" s="17">
        <v>165</v>
      </c>
      <c r="K100" s="17">
        <v>82</v>
      </c>
      <c r="L100" s="17">
        <v>90</v>
      </c>
      <c r="M100" s="17">
        <v>109</v>
      </c>
      <c r="N100" s="17">
        <v>144</v>
      </c>
      <c r="O100" s="17">
        <v>124</v>
      </c>
      <c r="P100" s="24">
        <v>7.9000000000000001E-2</v>
      </c>
      <c r="Q100" s="24">
        <v>0.09</v>
      </c>
      <c r="R100" s="24">
        <v>0.186</v>
      </c>
      <c r="S100" s="24">
        <v>0.375</v>
      </c>
      <c r="T100" s="17" t="s">
        <v>355</v>
      </c>
      <c r="U100" s="17" t="s">
        <v>679</v>
      </c>
      <c r="V100" s="17" t="s">
        <v>680</v>
      </c>
      <c r="W100" s="17" t="s">
        <v>681</v>
      </c>
    </row>
    <row r="101" spans="1:23" ht="27">
      <c r="A101" s="13">
        <v>98</v>
      </c>
      <c r="B101" s="14" t="s">
        <v>221</v>
      </c>
      <c r="C101" s="16" t="s">
        <v>144</v>
      </c>
      <c r="D101" s="16" t="s">
        <v>116</v>
      </c>
      <c r="E101" s="17">
        <v>28</v>
      </c>
      <c r="F101" s="17" t="s">
        <v>222</v>
      </c>
      <c r="G101" s="17" t="s">
        <v>222</v>
      </c>
      <c r="H101" s="17" t="s">
        <v>614</v>
      </c>
      <c r="I101" s="17" t="s">
        <v>686</v>
      </c>
      <c r="J101" s="17">
        <v>188</v>
      </c>
      <c r="K101" s="17">
        <v>85</v>
      </c>
      <c r="L101" s="17">
        <v>74</v>
      </c>
      <c r="M101" s="17">
        <v>119</v>
      </c>
      <c r="N101" s="17">
        <v>34</v>
      </c>
      <c r="O101" s="17">
        <v>17</v>
      </c>
      <c r="P101" s="24">
        <v>7.9000000000000001E-2</v>
      </c>
      <c r="Q101" s="24">
        <v>0.09</v>
      </c>
      <c r="R101" s="24">
        <v>0.186</v>
      </c>
      <c r="S101" s="24">
        <v>0.375</v>
      </c>
      <c r="T101" s="17" t="s">
        <v>683</v>
      </c>
      <c r="U101" s="17" t="s">
        <v>442</v>
      </c>
      <c r="V101" s="17" t="s">
        <v>684</v>
      </c>
      <c r="W101" s="17" t="s">
        <v>685</v>
      </c>
    </row>
    <row r="102" spans="1:23" ht="27">
      <c r="A102" s="13">
        <v>99</v>
      </c>
      <c r="B102" s="14" t="s">
        <v>223</v>
      </c>
      <c r="C102" s="16" t="s">
        <v>144</v>
      </c>
      <c r="D102" s="16" t="s">
        <v>116</v>
      </c>
      <c r="E102" s="17">
        <v>30</v>
      </c>
      <c r="F102" s="17" t="s">
        <v>224</v>
      </c>
      <c r="G102" s="17" t="s">
        <v>224</v>
      </c>
      <c r="H102" s="17" t="s">
        <v>614</v>
      </c>
      <c r="I102" s="17" t="s">
        <v>546</v>
      </c>
      <c r="J102" s="17">
        <v>157</v>
      </c>
      <c r="K102" s="17">
        <v>46</v>
      </c>
      <c r="L102" s="17">
        <v>90</v>
      </c>
      <c r="M102" s="17">
        <v>106</v>
      </c>
      <c r="N102" s="17">
        <v>95</v>
      </c>
      <c r="O102" s="17">
        <v>70</v>
      </c>
      <c r="P102" s="24">
        <v>7.2999999999999995E-2</v>
      </c>
      <c r="Q102" s="24">
        <v>0.09</v>
      </c>
      <c r="R102" s="24">
        <v>0.186</v>
      </c>
      <c r="S102" s="24">
        <v>0.375</v>
      </c>
      <c r="T102" s="17" t="s">
        <v>687</v>
      </c>
      <c r="U102" s="17" t="s">
        <v>688</v>
      </c>
      <c r="V102" s="17" t="s">
        <v>689</v>
      </c>
      <c r="W102" s="17" t="s">
        <v>690</v>
      </c>
    </row>
    <row r="103" spans="1:23" ht="27">
      <c r="A103" s="13">
        <v>100</v>
      </c>
      <c r="B103" s="14" t="s">
        <v>225</v>
      </c>
      <c r="C103" s="18" t="s">
        <v>84</v>
      </c>
      <c r="D103" s="16" t="s">
        <v>116</v>
      </c>
      <c r="E103" s="17">
        <v>20</v>
      </c>
      <c r="F103" s="17" t="s">
        <v>171</v>
      </c>
      <c r="G103" s="17" t="s">
        <v>171</v>
      </c>
      <c r="H103" s="17" t="s">
        <v>614</v>
      </c>
      <c r="I103" s="17" t="s">
        <v>692</v>
      </c>
      <c r="J103" s="17">
        <v>139</v>
      </c>
      <c r="K103" s="17">
        <v>23</v>
      </c>
      <c r="L103" s="17">
        <v>92</v>
      </c>
      <c r="M103" s="17">
        <v>66</v>
      </c>
      <c r="N103" s="17">
        <v>72</v>
      </c>
      <c r="O103" s="17">
        <v>46</v>
      </c>
      <c r="P103" s="24">
        <v>0.185</v>
      </c>
      <c r="Q103" s="24">
        <v>0.15</v>
      </c>
      <c r="R103" s="24">
        <v>0.31</v>
      </c>
      <c r="S103" s="24">
        <v>0.625</v>
      </c>
      <c r="T103" s="17" t="s">
        <v>355</v>
      </c>
      <c r="U103" s="17" t="s">
        <v>691</v>
      </c>
      <c r="V103" s="17" t="s">
        <v>583</v>
      </c>
      <c r="W103" s="17" t="s">
        <v>425</v>
      </c>
    </row>
    <row r="104" spans="1:23">
      <c r="A104" s="13">
        <v>101</v>
      </c>
      <c r="B104" s="14" t="s">
        <v>226</v>
      </c>
      <c r="C104" s="18" t="s">
        <v>84</v>
      </c>
      <c r="D104" s="20" t="s">
        <v>132</v>
      </c>
      <c r="E104" s="17">
        <v>21</v>
      </c>
      <c r="F104" s="17" t="s">
        <v>227</v>
      </c>
      <c r="G104" s="17" t="s">
        <v>227</v>
      </c>
      <c r="H104" s="17" t="s">
        <v>614</v>
      </c>
      <c r="I104" s="17" t="s">
        <v>635</v>
      </c>
      <c r="J104" s="17">
        <v>130</v>
      </c>
      <c r="K104" s="17">
        <v>127</v>
      </c>
      <c r="L104" s="17">
        <v>99</v>
      </c>
      <c r="M104" s="17">
        <v>21</v>
      </c>
      <c r="N104" s="17">
        <v>142</v>
      </c>
      <c r="O104" s="17">
        <v>227</v>
      </c>
      <c r="P104" s="24">
        <v>0.17699999999999999</v>
      </c>
      <c r="Q104" s="24">
        <v>0.15</v>
      </c>
      <c r="R104" s="24">
        <v>0.31</v>
      </c>
      <c r="S104" s="24">
        <v>0.625</v>
      </c>
      <c r="T104" s="17" t="s">
        <v>355</v>
      </c>
      <c r="U104" s="17" t="s">
        <v>422</v>
      </c>
      <c r="V104" s="17" t="s">
        <v>693</v>
      </c>
      <c r="W104" s="17" t="s">
        <v>425</v>
      </c>
    </row>
    <row r="105" spans="1:23" ht="27">
      <c r="A105" s="13">
        <v>102</v>
      </c>
      <c r="B105" s="14" t="s">
        <v>228</v>
      </c>
      <c r="C105" s="18" t="s">
        <v>84</v>
      </c>
      <c r="D105" s="16" t="s">
        <v>116</v>
      </c>
      <c r="E105" s="17">
        <v>20</v>
      </c>
      <c r="F105" s="17" t="s">
        <v>229</v>
      </c>
      <c r="G105" s="17" t="s">
        <v>229</v>
      </c>
      <c r="H105" s="17" t="s">
        <v>614</v>
      </c>
      <c r="I105" s="17" t="s">
        <v>696</v>
      </c>
      <c r="J105" s="17">
        <v>95</v>
      </c>
      <c r="K105" s="17">
        <v>21</v>
      </c>
      <c r="L105" s="17">
        <v>88</v>
      </c>
      <c r="M105" s="17">
        <v>88</v>
      </c>
      <c r="N105" s="17">
        <v>70</v>
      </c>
      <c r="O105" s="17">
        <v>48</v>
      </c>
      <c r="P105" s="24">
        <v>0.185</v>
      </c>
      <c r="Q105" s="24">
        <v>0.15</v>
      </c>
      <c r="R105" s="24">
        <v>0.31</v>
      </c>
      <c r="S105" s="24">
        <v>0.625</v>
      </c>
      <c r="T105" s="17" t="s">
        <v>355</v>
      </c>
      <c r="U105" s="17" t="s">
        <v>694</v>
      </c>
      <c r="V105" s="17" t="s">
        <v>695</v>
      </c>
      <c r="W105" s="17" t="s">
        <v>425</v>
      </c>
    </row>
    <row r="106" spans="1:23">
      <c r="A106" s="13">
        <v>103</v>
      </c>
      <c r="B106" s="14" t="s">
        <v>230</v>
      </c>
      <c r="C106" s="18" t="s">
        <v>84</v>
      </c>
      <c r="D106" s="16" t="s">
        <v>116</v>
      </c>
      <c r="E106" s="17">
        <v>20</v>
      </c>
      <c r="F106" s="17" t="s">
        <v>231</v>
      </c>
      <c r="G106" s="17" t="s">
        <v>231</v>
      </c>
      <c r="H106" s="17" t="s">
        <v>614</v>
      </c>
      <c r="I106" s="17" t="s">
        <v>635</v>
      </c>
      <c r="J106" s="17">
        <v>110</v>
      </c>
      <c r="K106" s="17">
        <v>45</v>
      </c>
      <c r="L106" s="17">
        <v>78</v>
      </c>
      <c r="M106" s="17">
        <v>103</v>
      </c>
      <c r="N106" s="17">
        <v>103</v>
      </c>
      <c r="O106" s="17">
        <v>113</v>
      </c>
      <c r="P106" s="24">
        <v>0.185</v>
      </c>
      <c r="Q106" s="24">
        <v>0.15</v>
      </c>
      <c r="R106" s="24">
        <v>0.31</v>
      </c>
      <c r="S106" s="24">
        <v>0.625</v>
      </c>
      <c r="T106" s="17" t="s">
        <v>355</v>
      </c>
      <c r="U106" s="17" t="s">
        <v>697</v>
      </c>
      <c r="V106" s="17" t="s">
        <v>583</v>
      </c>
      <c r="W106" s="17" t="s">
        <v>565</v>
      </c>
    </row>
    <row r="107" spans="1:23" ht="40.5">
      <c r="A107" s="13">
        <v>104</v>
      </c>
      <c r="B107" s="14" t="s">
        <v>232</v>
      </c>
      <c r="C107" s="18" t="s">
        <v>84</v>
      </c>
      <c r="D107" s="20" t="s">
        <v>132</v>
      </c>
      <c r="E107" s="17">
        <v>21</v>
      </c>
      <c r="F107" s="17" t="s">
        <v>205</v>
      </c>
      <c r="G107" s="17" t="s">
        <v>205</v>
      </c>
      <c r="H107" s="17" t="s">
        <v>614</v>
      </c>
      <c r="I107" s="17" t="s">
        <v>701</v>
      </c>
      <c r="J107" s="17">
        <v>153</v>
      </c>
      <c r="K107" s="17">
        <v>44</v>
      </c>
      <c r="L107" s="17">
        <v>95</v>
      </c>
      <c r="M107" s="17">
        <v>48</v>
      </c>
      <c r="N107" s="17">
        <v>116</v>
      </c>
      <c r="O107" s="17">
        <v>36</v>
      </c>
      <c r="P107" s="24">
        <v>0.17699999999999999</v>
      </c>
      <c r="Q107" s="24">
        <v>0.15</v>
      </c>
      <c r="R107" s="24">
        <v>0.31</v>
      </c>
      <c r="S107" s="24">
        <v>0.625</v>
      </c>
      <c r="T107" s="17" t="s">
        <v>355</v>
      </c>
      <c r="U107" s="17" t="s">
        <v>698</v>
      </c>
      <c r="V107" s="17" t="s">
        <v>699</v>
      </c>
      <c r="W107" s="17" t="s">
        <v>700</v>
      </c>
    </row>
    <row r="108" spans="1:23" ht="54">
      <c r="A108" s="13">
        <v>105</v>
      </c>
      <c r="B108" s="14" t="s">
        <v>233</v>
      </c>
      <c r="C108" s="16" t="s">
        <v>144</v>
      </c>
      <c r="D108" s="19" t="s">
        <v>131</v>
      </c>
      <c r="E108" s="17">
        <v>29</v>
      </c>
      <c r="F108" s="17" t="s">
        <v>140</v>
      </c>
      <c r="G108" s="17" t="s">
        <v>140</v>
      </c>
      <c r="H108" s="17" t="s">
        <v>614</v>
      </c>
      <c r="I108" s="17" t="s">
        <v>648</v>
      </c>
      <c r="J108" s="17">
        <v>123</v>
      </c>
      <c r="K108" s="17">
        <v>46</v>
      </c>
      <c r="L108" s="17">
        <v>95</v>
      </c>
      <c r="M108" s="17">
        <v>137</v>
      </c>
      <c r="N108" s="17">
        <v>89</v>
      </c>
      <c r="O108" s="17">
        <v>115</v>
      </c>
      <c r="P108" s="24">
        <v>7.5999999999999998E-2</v>
      </c>
      <c r="Q108" s="24">
        <v>0.09</v>
      </c>
      <c r="R108" s="24">
        <v>0.186</v>
      </c>
      <c r="S108" s="24">
        <v>0.375</v>
      </c>
      <c r="T108" s="17" t="s">
        <v>430</v>
      </c>
      <c r="U108" s="17" t="s">
        <v>280</v>
      </c>
      <c r="V108" s="17" t="s">
        <v>702</v>
      </c>
      <c r="W108" s="17" t="s">
        <v>703</v>
      </c>
    </row>
    <row r="109" spans="1:23" ht="27">
      <c r="A109" s="13">
        <v>106</v>
      </c>
      <c r="B109" s="14" t="s">
        <v>234</v>
      </c>
      <c r="C109" s="16" t="s">
        <v>144</v>
      </c>
      <c r="D109" s="16" t="s">
        <v>116</v>
      </c>
      <c r="E109" s="17">
        <v>35</v>
      </c>
      <c r="F109" s="17" t="s">
        <v>117</v>
      </c>
      <c r="G109" s="17" t="s">
        <v>292</v>
      </c>
      <c r="H109" s="17" t="s">
        <v>614</v>
      </c>
      <c r="I109" s="17" t="s">
        <v>837</v>
      </c>
      <c r="J109" s="17">
        <v>189</v>
      </c>
      <c r="K109" s="17">
        <v>18</v>
      </c>
      <c r="L109" s="17">
        <v>121</v>
      </c>
      <c r="M109" s="17">
        <v>43</v>
      </c>
      <c r="N109" s="17">
        <v>36</v>
      </c>
      <c r="O109" s="17">
        <v>20</v>
      </c>
      <c r="P109" s="24">
        <v>6.3E-2</v>
      </c>
      <c r="Q109" s="24">
        <v>0.09</v>
      </c>
      <c r="R109" s="24">
        <v>0.186</v>
      </c>
      <c r="S109" s="24">
        <v>0.375</v>
      </c>
      <c r="T109" s="17" t="s">
        <v>355</v>
      </c>
      <c r="U109" s="17" t="s">
        <v>704</v>
      </c>
      <c r="V109" s="17" t="s">
        <v>705</v>
      </c>
      <c r="W109" s="17" t="s">
        <v>706</v>
      </c>
    </row>
    <row r="110" spans="1:23" ht="27">
      <c r="A110" s="13">
        <v>107</v>
      </c>
      <c r="B110" s="14" t="s">
        <v>235</v>
      </c>
      <c r="C110" s="16" t="s">
        <v>144</v>
      </c>
      <c r="D110" s="16" t="s">
        <v>116</v>
      </c>
      <c r="E110" s="17">
        <v>29</v>
      </c>
      <c r="F110" s="17" t="s">
        <v>207</v>
      </c>
      <c r="G110" s="17" t="s">
        <v>207</v>
      </c>
      <c r="H110" s="17" t="s">
        <v>614</v>
      </c>
      <c r="I110" s="17" t="s">
        <v>710</v>
      </c>
      <c r="J110" s="17">
        <v>192</v>
      </c>
      <c r="K110" s="17">
        <v>76</v>
      </c>
      <c r="L110" s="17">
        <v>85</v>
      </c>
      <c r="M110" s="17">
        <v>89</v>
      </c>
      <c r="N110" s="17">
        <v>82</v>
      </c>
      <c r="O110" s="17">
        <v>127</v>
      </c>
      <c r="P110" s="24">
        <v>7.5999999999999998E-2</v>
      </c>
      <c r="Q110" s="24">
        <v>0.09</v>
      </c>
      <c r="R110" s="24">
        <v>0.186</v>
      </c>
      <c r="S110" s="24">
        <v>0.375</v>
      </c>
      <c r="T110" s="17" t="s">
        <v>429</v>
      </c>
      <c r="U110" s="17" t="s">
        <v>707</v>
      </c>
      <c r="V110" s="17" t="s">
        <v>708</v>
      </c>
      <c r="W110" s="17" t="s">
        <v>709</v>
      </c>
    </row>
    <row r="111" spans="1:23" ht="27">
      <c r="A111" s="13">
        <v>108</v>
      </c>
      <c r="B111" s="14" t="s">
        <v>236</v>
      </c>
      <c r="C111" s="21" t="s">
        <v>215</v>
      </c>
      <c r="D111" s="16" t="s">
        <v>116</v>
      </c>
      <c r="E111" s="17">
        <v>40</v>
      </c>
      <c r="F111" s="17" t="s">
        <v>237</v>
      </c>
      <c r="G111" s="17" t="s">
        <v>237</v>
      </c>
      <c r="H111" s="17" t="s">
        <v>614</v>
      </c>
      <c r="I111" s="17" t="s">
        <v>713</v>
      </c>
      <c r="J111" s="17">
        <v>222</v>
      </c>
      <c r="K111" s="17">
        <v>31</v>
      </c>
      <c r="L111" s="17">
        <v>123</v>
      </c>
      <c r="M111" s="17">
        <v>110</v>
      </c>
      <c r="N111" s="17">
        <v>56</v>
      </c>
      <c r="O111" s="17">
        <v>33</v>
      </c>
      <c r="P111" s="24">
        <v>3.6999999999999998E-2</v>
      </c>
      <c r="Q111" s="24">
        <v>4.2000000000000003E-2</v>
      </c>
      <c r="R111" s="24">
        <v>8.6999999999999994E-2</v>
      </c>
      <c r="S111" s="24">
        <v>0.17499999999999999</v>
      </c>
      <c r="T111" s="17" t="s">
        <v>355</v>
      </c>
      <c r="U111" s="17" t="s">
        <v>711</v>
      </c>
      <c r="V111" s="17" t="s">
        <v>695</v>
      </c>
      <c r="W111" s="17" t="s">
        <v>712</v>
      </c>
    </row>
    <row r="112" spans="1:23">
      <c r="A112" s="13">
        <v>109</v>
      </c>
      <c r="B112" s="14" t="s">
        <v>238</v>
      </c>
      <c r="C112" s="21" t="s">
        <v>215</v>
      </c>
      <c r="D112" s="16" t="s">
        <v>116</v>
      </c>
      <c r="E112" s="17">
        <v>40</v>
      </c>
      <c r="F112" s="17" t="s">
        <v>81</v>
      </c>
      <c r="G112" s="17" t="s">
        <v>291</v>
      </c>
      <c r="H112" s="17" t="s">
        <v>614</v>
      </c>
      <c r="I112" s="17" t="s">
        <v>635</v>
      </c>
      <c r="J112" s="17">
        <v>186</v>
      </c>
      <c r="K112" s="17">
        <v>64</v>
      </c>
      <c r="L112" s="17">
        <v>75</v>
      </c>
      <c r="M112" s="17">
        <v>110</v>
      </c>
      <c r="N112" s="17">
        <v>97</v>
      </c>
      <c r="O112" s="17">
        <v>119</v>
      </c>
      <c r="P112" s="24">
        <v>3.6999999999999998E-2</v>
      </c>
      <c r="Q112" s="24">
        <v>4.2000000000000003E-2</v>
      </c>
      <c r="R112" s="24">
        <v>8.6999999999999994E-2</v>
      </c>
      <c r="S112" s="24">
        <v>0.17499999999999999</v>
      </c>
      <c r="T112" s="17" t="s">
        <v>289</v>
      </c>
      <c r="U112" s="17" t="s">
        <v>433</v>
      </c>
      <c r="V112" s="17" t="s">
        <v>714</v>
      </c>
      <c r="W112" s="17" t="s">
        <v>565</v>
      </c>
    </row>
    <row r="113" spans="1:23">
      <c r="A113" s="13">
        <v>110</v>
      </c>
      <c r="B113" s="14" t="s">
        <v>239</v>
      </c>
      <c r="C113" s="18" t="s">
        <v>84</v>
      </c>
      <c r="D113" s="16" t="s">
        <v>116</v>
      </c>
      <c r="E113" s="17">
        <v>21</v>
      </c>
      <c r="F113" s="17" t="s">
        <v>117</v>
      </c>
      <c r="G113" s="17" t="s">
        <v>293</v>
      </c>
      <c r="H113" s="17" t="s">
        <v>614</v>
      </c>
      <c r="I113" s="17" t="s">
        <v>648</v>
      </c>
      <c r="J113" s="17">
        <v>137</v>
      </c>
      <c r="K113" s="17">
        <v>63</v>
      </c>
      <c r="L113" s="17">
        <v>84</v>
      </c>
      <c r="M113" s="17">
        <v>68</v>
      </c>
      <c r="N113" s="17">
        <v>85</v>
      </c>
      <c r="O113" s="17">
        <v>99</v>
      </c>
      <c r="P113" s="24">
        <v>0.17699999999999999</v>
      </c>
      <c r="Q113" s="24">
        <v>0.15</v>
      </c>
      <c r="R113" s="24">
        <v>0.31</v>
      </c>
      <c r="S113" s="24">
        <v>0.625</v>
      </c>
      <c r="T113" s="17" t="s">
        <v>355</v>
      </c>
      <c r="U113" s="17" t="s">
        <v>715</v>
      </c>
      <c r="V113" s="17" t="s">
        <v>716</v>
      </c>
      <c r="W113" s="17" t="s">
        <v>717</v>
      </c>
    </row>
    <row r="114" spans="1:23">
      <c r="A114" s="13">
        <v>111</v>
      </c>
      <c r="B114" s="14" t="s">
        <v>240</v>
      </c>
      <c r="C114" s="16" t="s">
        <v>144</v>
      </c>
      <c r="D114" s="16" t="s">
        <v>116</v>
      </c>
      <c r="E114" s="17">
        <v>27</v>
      </c>
      <c r="F114" s="17" t="s">
        <v>241</v>
      </c>
      <c r="G114" s="17" t="s">
        <v>294</v>
      </c>
      <c r="H114" s="17" t="s">
        <v>614</v>
      </c>
      <c r="I114" s="17" t="s">
        <v>635</v>
      </c>
      <c r="J114" s="17">
        <v>206</v>
      </c>
      <c r="K114" s="17">
        <v>129</v>
      </c>
      <c r="L114" s="17">
        <v>86</v>
      </c>
      <c r="M114" s="17">
        <v>82</v>
      </c>
      <c r="N114" s="17">
        <v>194</v>
      </c>
      <c r="O114" s="17">
        <v>129</v>
      </c>
      <c r="P114" s="24">
        <v>8.2000000000000003E-2</v>
      </c>
      <c r="Q114" s="24">
        <v>0.09</v>
      </c>
      <c r="R114" s="24">
        <v>0.186</v>
      </c>
      <c r="S114" s="24">
        <v>0.375</v>
      </c>
      <c r="T114" s="17" t="s">
        <v>718</v>
      </c>
      <c r="U114" s="17" t="s">
        <v>719</v>
      </c>
      <c r="V114" s="17" t="s">
        <v>720</v>
      </c>
      <c r="W114" s="17" t="s">
        <v>598</v>
      </c>
    </row>
    <row r="115" spans="1:23" ht="40.5">
      <c r="A115" s="13">
        <v>112</v>
      </c>
      <c r="B115" s="14" t="s">
        <v>242</v>
      </c>
      <c r="C115" s="16" t="s">
        <v>144</v>
      </c>
      <c r="D115" s="19" t="s">
        <v>131</v>
      </c>
      <c r="E115" s="17">
        <v>28</v>
      </c>
      <c r="F115" s="17" t="s">
        <v>243</v>
      </c>
      <c r="G115" s="17" t="s">
        <v>243</v>
      </c>
      <c r="H115" s="17" t="s">
        <v>614</v>
      </c>
      <c r="I115" s="17" t="s">
        <v>724</v>
      </c>
      <c r="J115" s="17">
        <v>172</v>
      </c>
      <c r="K115" s="17">
        <v>53</v>
      </c>
      <c r="L115" s="17">
        <v>99</v>
      </c>
      <c r="M115" s="17">
        <v>64</v>
      </c>
      <c r="N115" s="17">
        <v>94</v>
      </c>
      <c r="O115" s="17">
        <v>113</v>
      </c>
      <c r="P115" s="24">
        <v>7.9000000000000001E-2</v>
      </c>
      <c r="Q115" s="24">
        <v>0.09</v>
      </c>
      <c r="R115" s="24">
        <v>0.186</v>
      </c>
      <c r="S115" s="24">
        <v>0.375</v>
      </c>
      <c r="T115" s="17" t="s">
        <v>355</v>
      </c>
      <c r="U115" s="17" t="s">
        <v>721</v>
      </c>
      <c r="V115" s="17" t="s">
        <v>722</v>
      </c>
      <c r="W115" s="17" t="s">
        <v>723</v>
      </c>
    </row>
    <row r="116" spans="1:23">
      <c r="A116" s="13">
        <v>113</v>
      </c>
      <c r="B116" s="14" t="s">
        <v>244</v>
      </c>
      <c r="C116" s="16" t="s">
        <v>144</v>
      </c>
      <c r="D116" s="16" t="s">
        <v>116</v>
      </c>
      <c r="E116" s="17">
        <v>29</v>
      </c>
      <c r="F116" s="17" t="s">
        <v>220</v>
      </c>
      <c r="G116" s="17" t="s">
        <v>220</v>
      </c>
      <c r="H116" s="17" t="s">
        <v>614</v>
      </c>
      <c r="I116" s="17" t="s">
        <v>635</v>
      </c>
      <c r="J116" s="17">
        <v>210</v>
      </c>
      <c r="K116" s="17">
        <v>91</v>
      </c>
      <c r="L116" s="17">
        <v>82</v>
      </c>
      <c r="M116" s="17">
        <v>112</v>
      </c>
      <c r="N116" s="17">
        <v>60</v>
      </c>
      <c r="O116" s="17">
        <v>105</v>
      </c>
      <c r="P116" s="24">
        <v>7.5999999999999998E-2</v>
      </c>
      <c r="Q116" s="24">
        <v>0.09</v>
      </c>
      <c r="R116" s="24">
        <v>0.186</v>
      </c>
      <c r="S116" s="24">
        <v>0.375</v>
      </c>
      <c r="T116" s="17" t="s">
        <v>355</v>
      </c>
      <c r="U116" s="17" t="s">
        <v>725</v>
      </c>
      <c r="V116" s="17" t="s">
        <v>726</v>
      </c>
      <c r="W116" s="17" t="s">
        <v>727</v>
      </c>
    </row>
    <row r="117" spans="1:23" ht="27">
      <c r="A117" s="13">
        <v>114</v>
      </c>
      <c r="B117" s="14" t="s">
        <v>245</v>
      </c>
      <c r="C117" s="16" t="s">
        <v>144</v>
      </c>
      <c r="D117" s="16" t="s">
        <v>116</v>
      </c>
      <c r="E117" s="17">
        <v>28</v>
      </c>
      <c r="F117" s="17" t="s">
        <v>68</v>
      </c>
      <c r="G117" s="17" t="s">
        <v>295</v>
      </c>
      <c r="H117" s="17" t="s">
        <v>614</v>
      </c>
      <c r="I117" s="17" t="s">
        <v>635</v>
      </c>
      <c r="J117" s="17">
        <v>199</v>
      </c>
      <c r="K117" s="17">
        <v>23</v>
      </c>
      <c r="L117" s="17">
        <v>111</v>
      </c>
      <c r="M117" s="17">
        <v>11</v>
      </c>
      <c r="N117" s="17">
        <v>52</v>
      </c>
      <c r="O117" s="17">
        <v>35</v>
      </c>
      <c r="P117" s="24">
        <v>7.9000000000000001E-2</v>
      </c>
      <c r="Q117" s="24">
        <v>0.09</v>
      </c>
      <c r="R117" s="24">
        <v>0.186</v>
      </c>
      <c r="S117" s="24">
        <v>0.375</v>
      </c>
      <c r="T117" s="17" t="s">
        <v>728</v>
      </c>
      <c r="U117" s="17" t="s">
        <v>729</v>
      </c>
      <c r="V117" s="17" t="s">
        <v>730</v>
      </c>
      <c r="W117" s="17" t="s">
        <v>731</v>
      </c>
    </row>
    <row r="118" spans="1:23" ht="27">
      <c r="A118" s="13">
        <v>115</v>
      </c>
      <c r="B118" s="14" t="s">
        <v>246</v>
      </c>
      <c r="C118" s="16" t="s">
        <v>144</v>
      </c>
      <c r="D118" s="16" t="s">
        <v>116</v>
      </c>
      <c r="E118" s="17">
        <v>29</v>
      </c>
      <c r="F118" s="17" t="s">
        <v>199</v>
      </c>
      <c r="G118" s="17" t="s">
        <v>199</v>
      </c>
      <c r="H118" s="17" t="s">
        <v>614</v>
      </c>
      <c r="I118" s="17" t="s">
        <v>692</v>
      </c>
      <c r="J118" s="17">
        <v>164</v>
      </c>
      <c r="K118" s="17">
        <v>52</v>
      </c>
      <c r="L118" s="17">
        <v>86</v>
      </c>
      <c r="M118" s="17">
        <v>96</v>
      </c>
      <c r="N118" s="17">
        <v>94</v>
      </c>
      <c r="O118" s="17">
        <v>92</v>
      </c>
      <c r="P118" s="24">
        <v>7.5999999999999998E-2</v>
      </c>
      <c r="Q118" s="24">
        <v>0.09</v>
      </c>
      <c r="R118" s="24">
        <v>0.186</v>
      </c>
      <c r="S118" s="24">
        <v>0.375</v>
      </c>
      <c r="T118" s="17" t="s">
        <v>591</v>
      </c>
      <c r="U118" s="17" t="s">
        <v>732</v>
      </c>
      <c r="V118" s="17" t="s">
        <v>733</v>
      </c>
      <c r="W118" s="17" t="s">
        <v>734</v>
      </c>
    </row>
    <row r="119" spans="1:23" ht="27">
      <c r="A119" s="13">
        <v>116</v>
      </c>
      <c r="B119" s="14" t="s">
        <v>247</v>
      </c>
      <c r="C119" s="21" t="s">
        <v>215</v>
      </c>
      <c r="D119" s="16" t="s">
        <v>116</v>
      </c>
      <c r="E119" s="17">
        <v>39</v>
      </c>
      <c r="F119" s="17" t="s">
        <v>117</v>
      </c>
      <c r="G119" s="17" t="s">
        <v>296</v>
      </c>
      <c r="H119" s="17" t="s">
        <v>614</v>
      </c>
      <c r="I119" s="17"/>
      <c r="J119" s="17">
        <v>88</v>
      </c>
      <c r="K119" s="17">
        <v>21</v>
      </c>
      <c r="L119" s="17">
        <v>150</v>
      </c>
      <c r="M119" s="17">
        <v>148</v>
      </c>
      <c r="N119" s="17">
        <v>32</v>
      </c>
      <c r="O119" s="17">
        <v>44</v>
      </c>
      <c r="P119" s="24">
        <v>3.7999999999999999E-2</v>
      </c>
      <c r="Q119" s="24">
        <v>4.2000000000000003E-2</v>
      </c>
      <c r="R119" s="24">
        <v>8.6999999999999994E-2</v>
      </c>
      <c r="S119" s="24">
        <v>0.17499999999999999</v>
      </c>
      <c r="T119" s="17" t="s">
        <v>735</v>
      </c>
      <c r="U119" s="17" t="s">
        <v>736</v>
      </c>
      <c r="V119" s="17" t="s">
        <v>737</v>
      </c>
      <c r="W119" s="17" t="s">
        <v>738</v>
      </c>
    </row>
    <row r="120" spans="1:23">
      <c r="A120" s="13">
        <v>117</v>
      </c>
      <c r="B120" s="14" t="s">
        <v>248</v>
      </c>
      <c r="C120" s="21" t="s">
        <v>215</v>
      </c>
      <c r="D120" s="17" t="s">
        <v>291</v>
      </c>
      <c r="E120" s="17" t="s">
        <v>291</v>
      </c>
      <c r="F120" s="17" t="s">
        <v>291</v>
      </c>
      <c r="G120" s="17" t="s">
        <v>297</v>
      </c>
      <c r="H120" s="17" t="s">
        <v>614</v>
      </c>
      <c r="I120" s="17" t="s">
        <v>635</v>
      </c>
      <c r="J120" s="17" t="s">
        <v>814</v>
      </c>
      <c r="K120" s="17" t="s">
        <v>814</v>
      </c>
      <c r="L120" s="17" t="s">
        <v>814</v>
      </c>
      <c r="M120" s="17" t="s">
        <v>814</v>
      </c>
      <c r="N120" s="17" t="s">
        <v>814</v>
      </c>
      <c r="O120" s="17" t="s">
        <v>814</v>
      </c>
      <c r="P120" s="17" t="s">
        <v>297</v>
      </c>
      <c r="Q120" s="17" t="s">
        <v>297</v>
      </c>
      <c r="R120" s="17" t="s">
        <v>297</v>
      </c>
      <c r="S120" s="17" t="s">
        <v>297</v>
      </c>
      <c r="T120" s="17" t="s">
        <v>297</v>
      </c>
      <c r="U120" s="17" t="s">
        <v>297</v>
      </c>
      <c r="V120" s="17" t="s">
        <v>297</v>
      </c>
      <c r="W120" s="17" t="s">
        <v>297</v>
      </c>
    </row>
    <row r="121" spans="1:23">
      <c r="A121" s="13">
        <v>118</v>
      </c>
      <c r="B121" s="14" t="s">
        <v>249</v>
      </c>
      <c r="C121" s="22" t="s">
        <v>250</v>
      </c>
      <c r="D121" s="17" t="s">
        <v>291</v>
      </c>
      <c r="E121" s="17" t="s">
        <v>291</v>
      </c>
      <c r="F121" s="17" t="s">
        <v>291</v>
      </c>
      <c r="G121" s="17" t="s">
        <v>297</v>
      </c>
      <c r="H121" s="17" t="s">
        <v>614</v>
      </c>
      <c r="I121" s="17" t="s">
        <v>635</v>
      </c>
      <c r="J121" s="17" t="s">
        <v>814</v>
      </c>
      <c r="K121" s="17" t="s">
        <v>814</v>
      </c>
      <c r="L121" s="17" t="s">
        <v>814</v>
      </c>
      <c r="M121" s="17" t="s">
        <v>814</v>
      </c>
      <c r="N121" s="17" t="s">
        <v>814</v>
      </c>
      <c r="O121" s="17" t="s">
        <v>814</v>
      </c>
      <c r="P121" s="17" t="s">
        <v>297</v>
      </c>
      <c r="Q121" s="17" t="s">
        <v>297</v>
      </c>
      <c r="R121" s="17" t="s">
        <v>297</v>
      </c>
      <c r="S121" s="17" t="s">
        <v>297</v>
      </c>
      <c r="T121" s="17" t="s">
        <v>297</v>
      </c>
      <c r="U121" s="17" t="s">
        <v>297</v>
      </c>
      <c r="V121" s="17" t="s">
        <v>297</v>
      </c>
      <c r="W121" s="17" t="s">
        <v>297</v>
      </c>
    </row>
    <row r="122" spans="1:23">
      <c r="A122" s="13">
        <v>119</v>
      </c>
      <c r="B122" s="14" t="s">
        <v>251</v>
      </c>
      <c r="C122" s="15" t="s">
        <v>80</v>
      </c>
      <c r="D122" s="16" t="s">
        <v>116</v>
      </c>
      <c r="E122" s="17">
        <v>9</v>
      </c>
      <c r="F122" s="17" t="s">
        <v>64</v>
      </c>
      <c r="G122" s="17" t="s">
        <v>64</v>
      </c>
      <c r="H122" s="17" t="s">
        <v>355</v>
      </c>
      <c r="I122" s="17" t="s">
        <v>355</v>
      </c>
      <c r="J122" s="17">
        <v>119</v>
      </c>
      <c r="K122" s="17">
        <v>30</v>
      </c>
      <c r="L122" s="17">
        <v>116</v>
      </c>
      <c r="M122" s="17">
        <v>51</v>
      </c>
      <c r="N122" s="17">
        <v>133</v>
      </c>
      <c r="O122" s="17">
        <v>54</v>
      </c>
      <c r="P122" s="24">
        <v>0.58399999999999996</v>
      </c>
      <c r="Q122" s="24">
        <v>0.3</v>
      </c>
      <c r="R122" s="24">
        <v>0.62</v>
      </c>
      <c r="S122" s="24">
        <v>1.25</v>
      </c>
      <c r="T122" s="17" t="s">
        <v>65</v>
      </c>
      <c r="U122" s="17" t="s">
        <v>739</v>
      </c>
      <c r="V122" s="17" t="s">
        <v>740</v>
      </c>
      <c r="W122" s="17" t="s">
        <v>612</v>
      </c>
    </row>
    <row r="123" spans="1:23">
      <c r="A123" s="13">
        <v>121</v>
      </c>
      <c r="B123" s="14" t="s">
        <v>252</v>
      </c>
      <c r="C123" s="15" t="s">
        <v>80</v>
      </c>
      <c r="D123" s="16" t="s">
        <v>116</v>
      </c>
      <c r="E123" s="17">
        <v>9</v>
      </c>
      <c r="F123" s="17" t="s">
        <v>72</v>
      </c>
      <c r="G123" s="17" t="s">
        <v>298</v>
      </c>
      <c r="H123" s="17" t="s">
        <v>355</v>
      </c>
      <c r="I123" s="17" t="s">
        <v>355</v>
      </c>
      <c r="J123" s="17" t="s">
        <v>814</v>
      </c>
      <c r="K123" s="17" t="s">
        <v>814</v>
      </c>
      <c r="L123" s="17" t="s">
        <v>814</v>
      </c>
      <c r="M123" s="17" t="s">
        <v>814</v>
      </c>
      <c r="N123" s="17" t="s">
        <v>814</v>
      </c>
      <c r="O123" s="17" t="s">
        <v>814</v>
      </c>
      <c r="P123" s="24">
        <v>0.58399999999999996</v>
      </c>
      <c r="Q123" s="24">
        <v>0.3</v>
      </c>
      <c r="R123" s="24">
        <v>0.62</v>
      </c>
      <c r="S123" s="24">
        <v>1.25</v>
      </c>
      <c r="T123" s="17" t="s">
        <v>67</v>
      </c>
      <c r="U123" s="17" t="s">
        <v>741</v>
      </c>
      <c r="V123" s="17" t="s">
        <v>352</v>
      </c>
      <c r="W123" s="17" t="s">
        <v>353</v>
      </c>
    </row>
    <row r="124" spans="1:23">
      <c r="A124" s="13">
        <v>122</v>
      </c>
      <c r="B124" s="14" t="s">
        <v>253</v>
      </c>
      <c r="C124" s="15" t="s">
        <v>80</v>
      </c>
      <c r="D124" s="16" t="s">
        <v>116</v>
      </c>
      <c r="E124" s="17">
        <v>9</v>
      </c>
      <c r="F124" s="17" t="s">
        <v>87</v>
      </c>
      <c r="G124" s="17" t="s">
        <v>299</v>
      </c>
      <c r="H124" s="17" t="s">
        <v>355</v>
      </c>
      <c r="I124" s="17" t="s">
        <v>355</v>
      </c>
      <c r="J124" s="17" t="s">
        <v>814</v>
      </c>
      <c r="K124" s="17" t="s">
        <v>814</v>
      </c>
      <c r="L124" s="17" t="s">
        <v>814</v>
      </c>
      <c r="M124" s="17" t="s">
        <v>814</v>
      </c>
      <c r="N124" s="17" t="s">
        <v>814</v>
      </c>
      <c r="O124" s="17" t="s">
        <v>814</v>
      </c>
      <c r="P124" s="24">
        <v>0.58399999999999996</v>
      </c>
      <c r="Q124" s="24">
        <v>0.3</v>
      </c>
      <c r="R124" s="24">
        <v>0.62</v>
      </c>
      <c r="S124" s="24">
        <v>1.25</v>
      </c>
      <c r="T124" s="17" t="s">
        <v>268</v>
      </c>
      <c r="U124" s="17" t="s">
        <v>354</v>
      </c>
      <c r="V124" s="17" t="s">
        <v>368</v>
      </c>
      <c r="W124" s="17" t="s">
        <v>353</v>
      </c>
    </row>
    <row r="125" spans="1:23">
      <c r="A125" s="13">
        <v>124</v>
      </c>
      <c r="B125" s="14" t="s">
        <v>254</v>
      </c>
      <c r="C125" s="15" t="s">
        <v>80</v>
      </c>
      <c r="D125" s="16" t="s">
        <v>116</v>
      </c>
      <c r="E125" s="17">
        <v>9</v>
      </c>
      <c r="F125" s="17" t="s">
        <v>255</v>
      </c>
      <c r="G125" s="17" t="s">
        <v>300</v>
      </c>
      <c r="H125" s="17" t="s">
        <v>355</v>
      </c>
      <c r="I125" s="17" t="s">
        <v>355</v>
      </c>
      <c r="J125" s="17">
        <v>94</v>
      </c>
      <c r="K125" s="17">
        <v>45</v>
      </c>
      <c r="L125" s="17">
        <v>84</v>
      </c>
      <c r="M125" s="17">
        <v>70</v>
      </c>
      <c r="N125" s="17">
        <v>109</v>
      </c>
      <c r="O125" s="17">
        <v>75</v>
      </c>
      <c r="P125" s="24">
        <v>0.58399999999999996</v>
      </c>
      <c r="Q125" s="24">
        <v>0.3</v>
      </c>
      <c r="R125" s="24">
        <v>0.62</v>
      </c>
      <c r="S125" s="24">
        <v>1.25</v>
      </c>
      <c r="T125" s="17" t="s">
        <v>71</v>
      </c>
      <c r="U125" s="17" t="s">
        <v>742</v>
      </c>
      <c r="V125" s="17" t="s">
        <v>743</v>
      </c>
      <c r="W125" s="17" t="s">
        <v>744</v>
      </c>
    </row>
    <row r="126" spans="1:23" ht="216">
      <c r="A126" s="13">
        <v>125</v>
      </c>
      <c r="B126" s="14" t="s">
        <v>256</v>
      </c>
      <c r="C126" s="16" t="s">
        <v>144</v>
      </c>
      <c r="D126" s="16" t="s">
        <v>116</v>
      </c>
      <c r="E126" s="17">
        <v>23</v>
      </c>
      <c r="F126" s="17" t="s">
        <v>104</v>
      </c>
      <c r="G126" s="17" t="s">
        <v>104</v>
      </c>
      <c r="H126" s="17" t="s">
        <v>364</v>
      </c>
      <c r="I126" s="17" t="s">
        <v>745</v>
      </c>
      <c r="J126" s="17">
        <v>171</v>
      </c>
      <c r="K126" s="17">
        <v>76</v>
      </c>
      <c r="L126" s="17">
        <v>84</v>
      </c>
      <c r="M126" s="17">
        <v>101</v>
      </c>
      <c r="N126" s="17">
        <v>64</v>
      </c>
      <c r="O126" s="17">
        <v>91</v>
      </c>
      <c r="P126" s="24">
        <v>9.6000000000000002E-2</v>
      </c>
      <c r="Q126" s="24">
        <v>0.09</v>
      </c>
      <c r="R126" s="24">
        <v>0.186</v>
      </c>
      <c r="S126" s="24">
        <v>0.375</v>
      </c>
      <c r="T126" s="17" t="s">
        <v>280</v>
      </c>
      <c r="U126" s="17" t="s">
        <v>746</v>
      </c>
      <c r="V126" s="17" t="s">
        <v>747</v>
      </c>
      <c r="W126" s="17" t="s">
        <v>73</v>
      </c>
    </row>
    <row r="127" spans="1:23" s="148" customFormat="1" ht="54">
      <c r="A127" s="13">
        <v>126</v>
      </c>
      <c r="B127" s="109" t="s">
        <v>753</v>
      </c>
      <c r="C127" s="21" t="s">
        <v>215</v>
      </c>
      <c r="D127" s="16" t="s">
        <v>116</v>
      </c>
      <c r="E127" s="17">
        <v>36</v>
      </c>
      <c r="F127" s="17" t="s">
        <v>69</v>
      </c>
      <c r="G127" s="17" t="s">
        <v>69</v>
      </c>
      <c r="H127" s="17" t="s">
        <v>754</v>
      </c>
      <c r="I127" s="17" t="s">
        <v>838</v>
      </c>
      <c r="J127" s="17">
        <v>22</v>
      </c>
      <c r="K127" s="17">
        <v>86</v>
      </c>
      <c r="L127" s="17">
        <v>103</v>
      </c>
      <c r="M127" s="17">
        <v>499</v>
      </c>
      <c r="N127" s="17">
        <v>390</v>
      </c>
      <c r="O127" s="17">
        <v>65</v>
      </c>
      <c r="P127" s="24">
        <v>0.01</v>
      </c>
      <c r="Q127" s="24">
        <v>4.2000000000000003E-2</v>
      </c>
      <c r="R127" s="24">
        <v>8.6999999999999994E-2</v>
      </c>
      <c r="S127" s="24">
        <v>0.17499999999999999</v>
      </c>
      <c r="T127" s="17" t="s">
        <v>477</v>
      </c>
      <c r="U127" s="17" t="s">
        <v>478</v>
      </c>
      <c r="V127" s="17" t="s">
        <v>355</v>
      </c>
      <c r="W127" s="17" t="s">
        <v>755</v>
      </c>
    </row>
    <row r="128" spans="1:23" s="148" customFormat="1">
      <c r="A128" s="13">
        <v>127</v>
      </c>
      <c r="B128" s="181" t="s">
        <v>783</v>
      </c>
      <c r="C128" s="177" t="s">
        <v>80</v>
      </c>
      <c r="D128" s="16"/>
      <c r="E128" s="17"/>
      <c r="F128" s="17"/>
      <c r="G128" s="17"/>
      <c r="H128" s="17"/>
      <c r="I128" s="17"/>
      <c r="J128" s="17">
        <v>77</v>
      </c>
      <c r="K128" s="17">
        <v>37</v>
      </c>
      <c r="L128" s="17">
        <v>69</v>
      </c>
      <c r="M128" s="17">
        <v>44</v>
      </c>
      <c r="N128" s="17">
        <v>89</v>
      </c>
      <c r="O128" s="17">
        <v>62</v>
      </c>
      <c r="P128" s="24"/>
      <c r="Q128" s="24"/>
      <c r="R128" s="24"/>
      <c r="S128" s="24"/>
      <c r="T128" s="17"/>
      <c r="U128" s="17"/>
      <c r="V128" s="17"/>
      <c r="W128" s="17"/>
    </row>
    <row r="129" spans="1:23" s="148" customFormat="1">
      <c r="A129" s="13">
        <v>128</v>
      </c>
      <c r="B129" s="181" t="s">
        <v>784</v>
      </c>
      <c r="C129" s="177" t="s">
        <v>80</v>
      </c>
      <c r="D129" s="16"/>
      <c r="E129" s="17"/>
      <c r="F129" s="17"/>
      <c r="G129" s="17"/>
      <c r="H129" s="17"/>
      <c r="I129" s="17"/>
      <c r="J129" s="17">
        <v>117</v>
      </c>
      <c r="K129" s="17">
        <v>92</v>
      </c>
      <c r="L129" s="17">
        <v>55</v>
      </c>
      <c r="M129" s="17">
        <v>71</v>
      </c>
      <c r="N129" s="17">
        <v>123</v>
      </c>
      <c r="O129" s="17">
        <v>115</v>
      </c>
      <c r="P129" s="24"/>
      <c r="Q129" s="24"/>
      <c r="R129" s="24"/>
      <c r="S129" s="24"/>
      <c r="T129" s="17"/>
      <c r="U129" s="17"/>
      <c r="V129" s="17"/>
      <c r="W129" s="17"/>
    </row>
    <row r="130" spans="1:23" s="148" customFormat="1">
      <c r="A130" s="13">
        <v>129</v>
      </c>
      <c r="B130" s="181" t="s">
        <v>785</v>
      </c>
      <c r="C130" s="178" t="s">
        <v>84</v>
      </c>
      <c r="D130" s="16"/>
      <c r="E130" s="17"/>
      <c r="F130" s="17"/>
      <c r="G130" s="17"/>
      <c r="H130" s="17"/>
      <c r="I130" s="17"/>
      <c r="J130" s="17">
        <v>139</v>
      </c>
      <c r="K130" s="17">
        <v>69</v>
      </c>
      <c r="L130" s="17">
        <v>99</v>
      </c>
      <c r="M130" s="17">
        <v>52</v>
      </c>
      <c r="N130" s="17">
        <v>98</v>
      </c>
      <c r="O130" s="17">
        <v>90</v>
      </c>
      <c r="P130" s="24"/>
      <c r="Q130" s="24"/>
      <c r="R130" s="24"/>
      <c r="S130" s="24"/>
      <c r="T130" s="17"/>
      <c r="U130" s="17"/>
      <c r="V130" s="17"/>
      <c r="W130" s="17"/>
    </row>
    <row r="131" spans="1:23" s="148" customFormat="1">
      <c r="A131" s="13">
        <v>130</v>
      </c>
      <c r="B131" s="181" t="s">
        <v>786</v>
      </c>
      <c r="C131" s="178" t="s">
        <v>84</v>
      </c>
      <c r="D131" s="16"/>
      <c r="E131" s="17"/>
      <c r="F131" s="17"/>
      <c r="G131" s="17"/>
      <c r="H131" s="17"/>
      <c r="I131" s="17"/>
      <c r="J131" s="17">
        <v>122</v>
      </c>
      <c r="K131" s="17">
        <v>46</v>
      </c>
      <c r="L131" s="17">
        <v>76</v>
      </c>
      <c r="M131" s="17">
        <v>66</v>
      </c>
      <c r="N131" s="17">
        <v>62</v>
      </c>
      <c r="O131" s="17">
        <v>67</v>
      </c>
      <c r="P131" s="24"/>
      <c r="Q131" s="24"/>
      <c r="R131" s="24"/>
      <c r="S131" s="24"/>
      <c r="T131" s="17"/>
      <c r="U131" s="17"/>
      <c r="V131" s="17"/>
      <c r="W131" s="17"/>
    </row>
    <row r="132" spans="1:23" s="148" customFormat="1">
      <c r="A132" s="13">
        <v>131</v>
      </c>
      <c r="B132" s="181" t="s">
        <v>787</v>
      </c>
      <c r="C132" s="178" t="s">
        <v>84</v>
      </c>
      <c r="D132" s="16"/>
      <c r="E132" s="17"/>
      <c r="F132" s="17"/>
      <c r="G132" s="17"/>
      <c r="H132" s="17"/>
      <c r="I132" s="17"/>
      <c r="J132" s="17">
        <v>140</v>
      </c>
      <c r="K132" s="17">
        <v>48</v>
      </c>
      <c r="L132" s="17">
        <v>81</v>
      </c>
      <c r="M132" s="17">
        <v>62</v>
      </c>
      <c r="N132" s="17">
        <v>70</v>
      </c>
      <c r="O132" s="17">
        <v>70</v>
      </c>
      <c r="P132" s="24"/>
      <c r="Q132" s="24"/>
      <c r="R132" s="24"/>
      <c r="S132" s="24"/>
      <c r="T132" s="17"/>
      <c r="U132" s="17"/>
      <c r="V132" s="17"/>
      <c r="W132" s="17"/>
    </row>
    <row r="133" spans="1:23" s="148" customFormat="1">
      <c r="A133" s="13">
        <v>132</v>
      </c>
      <c r="B133" s="181" t="s">
        <v>788</v>
      </c>
      <c r="C133" s="179" t="s">
        <v>144</v>
      </c>
      <c r="D133" s="16"/>
      <c r="E133" s="17"/>
      <c r="F133" s="17"/>
      <c r="G133" s="17"/>
      <c r="H133" s="17"/>
      <c r="I133" s="17"/>
      <c r="J133" s="17" t="s">
        <v>814</v>
      </c>
      <c r="K133" s="17" t="s">
        <v>814</v>
      </c>
      <c r="L133" s="17" t="s">
        <v>814</v>
      </c>
      <c r="M133" s="17" t="s">
        <v>814</v>
      </c>
      <c r="N133" s="17" t="s">
        <v>814</v>
      </c>
      <c r="O133" s="17" t="s">
        <v>814</v>
      </c>
      <c r="P133" s="24"/>
      <c r="Q133" s="24"/>
      <c r="R133" s="24"/>
      <c r="S133" s="24"/>
      <c r="T133" s="17"/>
      <c r="U133" s="17"/>
      <c r="V133" s="17"/>
      <c r="W133" s="17"/>
    </row>
    <row r="134" spans="1:23" s="148" customFormat="1">
      <c r="A134" s="13">
        <v>133</v>
      </c>
      <c r="B134" s="181" t="s">
        <v>789</v>
      </c>
      <c r="C134" s="177" t="s">
        <v>80</v>
      </c>
      <c r="D134" s="16"/>
      <c r="E134" s="17"/>
      <c r="F134" s="17"/>
      <c r="G134" s="17"/>
      <c r="H134" s="17"/>
      <c r="I134" s="17"/>
      <c r="J134" s="17">
        <v>130</v>
      </c>
      <c r="K134" s="17">
        <v>59</v>
      </c>
      <c r="L134" s="17">
        <v>71</v>
      </c>
      <c r="M134" s="17">
        <v>42</v>
      </c>
      <c r="N134" s="17">
        <v>65</v>
      </c>
      <c r="O134" s="17">
        <v>24</v>
      </c>
      <c r="P134" s="24"/>
      <c r="Q134" s="24"/>
      <c r="R134" s="24"/>
      <c r="S134" s="24"/>
      <c r="T134" s="17"/>
      <c r="U134" s="17"/>
      <c r="V134" s="17"/>
      <c r="W134" s="17"/>
    </row>
    <row r="135" spans="1:23" s="148" customFormat="1">
      <c r="A135" s="13">
        <v>134</v>
      </c>
      <c r="B135" s="181" t="s">
        <v>790</v>
      </c>
      <c r="C135" s="179" t="s">
        <v>144</v>
      </c>
      <c r="D135" s="16"/>
      <c r="E135" s="17"/>
      <c r="F135" s="17"/>
      <c r="G135" s="17"/>
      <c r="H135" s="17"/>
      <c r="I135" s="17"/>
      <c r="J135" s="17">
        <v>201</v>
      </c>
      <c r="K135" s="17">
        <v>31</v>
      </c>
      <c r="L135" s="17">
        <v>118</v>
      </c>
      <c r="M135" s="17">
        <v>66</v>
      </c>
      <c r="N135" s="17">
        <v>74</v>
      </c>
      <c r="O135" s="17">
        <v>67</v>
      </c>
      <c r="P135" s="24"/>
      <c r="Q135" s="24"/>
      <c r="R135" s="24"/>
      <c r="S135" s="24"/>
      <c r="T135" s="17"/>
      <c r="U135" s="17"/>
      <c r="V135" s="17"/>
      <c r="W135" s="17"/>
    </row>
    <row r="136" spans="1:23" s="148" customFormat="1">
      <c r="A136" s="13">
        <v>135</v>
      </c>
      <c r="B136" s="181" t="s">
        <v>791</v>
      </c>
      <c r="C136" s="177" t="s">
        <v>80</v>
      </c>
      <c r="D136" s="16"/>
      <c r="E136" s="17"/>
      <c r="F136" s="17"/>
      <c r="G136" s="17"/>
      <c r="H136" s="17"/>
      <c r="I136" s="17"/>
      <c r="J136" s="17">
        <v>69</v>
      </c>
      <c r="K136" s="17">
        <v>34</v>
      </c>
      <c r="L136" s="17">
        <v>76</v>
      </c>
      <c r="M136" s="17">
        <v>49</v>
      </c>
      <c r="N136" s="17">
        <v>166</v>
      </c>
      <c r="O136" s="17">
        <v>48</v>
      </c>
      <c r="P136" s="24"/>
      <c r="Q136" s="24"/>
      <c r="R136" s="24"/>
      <c r="S136" s="24"/>
      <c r="T136" s="17"/>
      <c r="U136" s="17"/>
      <c r="V136" s="17"/>
      <c r="W136" s="17"/>
    </row>
    <row r="137" spans="1:23" s="148" customFormat="1">
      <c r="A137" s="13">
        <v>136</v>
      </c>
      <c r="B137" s="181" t="s">
        <v>792</v>
      </c>
      <c r="C137" s="177" t="s">
        <v>80</v>
      </c>
      <c r="D137" s="16"/>
      <c r="E137" s="17"/>
      <c r="F137" s="17"/>
      <c r="G137" s="17"/>
      <c r="H137" s="17"/>
      <c r="I137" s="17"/>
      <c r="J137" s="17">
        <v>103</v>
      </c>
      <c r="K137" s="17">
        <v>27</v>
      </c>
      <c r="L137" s="17">
        <v>73</v>
      </c>
      <c r="M137" s="17">
        <v>53</v>
      </c>
      <c r="N137" s="17">
        <v>73</v>
      </c>
      <c r="O137" s="17">
        <v>55</v>
      </c>
      <c r="P137" s="24"/>
      <c r="Q137" s="24"/>
      <c r="R137" s="24"/>
      <c r="S137" s="24"/>
      <c r="T137" s="17"/>
      <c r="U137" s="17"/>
      <c r="V137" s="17"/>
      <c r="W137" s="17"/>
    </row>
    <row r="138" spans="1:23" s="148" customFormat="1">
      <c r="A138" s="13">
        <v>137</v>
      </c>
      <c r="B138" s="181" t="s">
        <v>793</v>
      </c>
      <c r="C138" s="177" t="s">
        <v>80</v>
      </c>
      <c r="D138" s="16"/>
      <c r="E138" s="17"/>
      <c r="F138" s="17"/>
      <c r="G138" s="17"/>
      <c r="H138" s="17"/>
      <c r="I138" s="17"/>
      <c r="J138" s="17">
        <v>96</v>
      </c>
      <c r="K138" s="17">
        <v>29</v>
      </c>
      <c r="L138" s="17">
        <v>94</v>
      </c>
      <c r="M138" s="17">
        <v>60</v>
      </c>
      <c r="N138" s="17">
        <v>72</v>
      </c>
      <c r="O138" s="17">
        <v>35</v>
      </c>
      <c r="P138" s="24"/>
      <c r="Q138" s="24"/>
      <c r="R138" s="24"/>
      <c r="S138" s="24"/>
      <c r="T138" s="17"/>
      <c r="U138" s="17"/>
      <c r="V138" s="17"/>
      <c r="W138" s="17"/>
    </row>
    <row r="139" spans="1:23" s="148" customFormat="1">
      <c r="A139" s="13">
        <v>138</v>
      </c>
      <c r="B139" s="181" t="s">
        <v>794</v>
      </c>
      <c r="C139" s="177" t="s">
        <v>80</v>
      </c>
      <c r="D139" s="16"/>
      <c r="E139" s="17"/>
      <c r="F139" s="17"/>
      <c r="G139" s="17"/>
      <c r="H139" s="17"/>
      <c r="I139" s="17"/>
      <c r="J139" s="17">
        <v>117</v>
      </c>
      <c r="K139" s="17">
        <v>29</v>
      </c>
      <c r="L139" s="17">
        <v>82</v>
      </c>
      <c r="M139" s="17">
        <v>43</v>
      </c>
      <c r="N139" s="17">
        <v>76</v>
      </c>
      <c r="O139" s="17">
        <v>20</v>
      </c>
      <c r="P139" s="24"/>
      <c r="Q139" s="24"/>
      <c r="R139" s="24"/>
      <c r="S139" s="24"/>
      <c r="T139" s="17"/>
      <c r="U139" s="17"/>
      <c r="V139" s="17"/>
      <c r="W139" s="17"/>
    </row>
    <row r="140" spans="1:23" s="148" customFormat="1">
      <c r="A140" s="13">
        <v>139</v>
      </c>
      <c r="B140" s="181" t="s">
        <v>795</v>
      </c>
      <c r="C140" s="177" t="s">
        <v>80</v>
      </c>
      <c r="D140" s="16"/>
      <c r="E140" s="17"/>
      <c r="F140" s="17"/>
      <c r="G140" s="17"/>
      <c r="H140" s="17"/>
      <c r="I140" s="17"/>
      <c r="J140" s="17" t="s">
        <v>814</v>
      </c>
      <c r="K140" s="17" t="s">
        <v>814</v>
      </c>
      <c r="L140" s="17" t="s">
        <v>814</v>
      </c>
      <c r="M140" s="17" t="s">
        <v>814</v>
      </c>
      <c r="N140" s="17" t="s">
        <v>814</v>
      </c>
      <c r="O140" s="17" t="s">
        <v>814</v>
      </c>
      <c r="P140" s="24"/>
      <c r="Q140" s="24"/>
      <c r="R140" s="24"/>
      <c r="S140" s="24"/>
      <c r="T140" s="17"/>
      <c r="U140" s="17"/>
      <c r="V140" s="17"/>
      <c r="W140" s="17"/>
    </row>
    <row r="141" spans="1:23" s="148" customFormat="1">
      <c r="A141" s="13">
        <v>140</v>
      </c>
      <c r="B141" s="181" t="s">
        <v>796</v>
      </c>
      <c r="C141" s="177" t="s">
        <v>80</v>
      </c>
      <c r="D141" s="16"/>
      <c r="E141" s="17"/>
      <c r="F141" s="17"/>
      <c r="G141" s="17"/>
      <c r="H141" s="17"/>
      <c r="I141" s="17"/>
      <c r="J141" s="17" t="s">
        <v>814</v>
      </c>
      <c r="K141" s="17" t="s">
        <v>814</v>
      </c>
      <c r="L141" s="17" t="s">
        <v>814</v>
      </c>
      <c r="M141" s="17" t="s">
        <v>814</v>
      </c>
      <c r="N141" s="17" t="s">
        <v>814</v>
      </c>
      <c r="O141" s="17" t="s">
        <v>814</v>
      </c>
      <c r="P141" s="24"/>
      <c r="Q141" s="24"/>
      <c r="R141" s="24"/>
      <c r="S141" s="24"/>
      <c r="T141" s="17"/>
      <c r="U141" s="17"/>
      <c r="V141" s="17"/>
      <c r="W141" s="17"/>
    </row>
    <row r="142" spans="1:23" s="148" customFormat="1">
      <c r="A142" s="13">
        <v>141</v>
      </c>
      <c r="B142" s="181" t="s">
        <v>797</v>
      </c>
      <c r="C142" s="177" t="s">
        <v>80</v>
      </c>
      <c r="D142" s="16"/>
      <c r="E142" s="17"/>
      <c r="F142" s="17"/>
      <c r="G142" s="17"/>
      <c r="H142" s="17"/>
      <c r="I142" s="17"/>
      <c r="J142" s="17">
        <v>123</v>
      </c>
      <c r="K142" s="17">
        <v>25</v>
      </c>
      <c r="L142" s="17">
        <v>71</v>
      </c>
      <c r="M142" s="17">
        <v>57</v>
      </c>
      <c r="N142" s="17">
        <v>64</v>
      </c>
      <c r="O142" s="17">
        <v>45</v>
      </c>
      <c r="P142" s="24"/>
      <c r="Q142" s="24"/>
      <c r="R142" s="24"/>
      <c r="S142" s="24"/>
      <c r="T142" s="17"/>
      <c r="U142" s="17"/>
      <c r="V142" s="17"/>
      <c r="W142" s="17"/>
    </row>
    <row r="143" spans="1:23" s="148" customFormat="1">
      <c r="A143" s="13">
        <v>142</v>
      </c>
      <c r="B143" s="181" t="s">
        <v>798</v>
      </c>
      <c r="C143" s="177" t="s">
        <v>80</v>
      </c>
      <c r="D143" s="16"/>
      <c r="E143" s="17"/>
      <c r="F143" s="17"/>
      <c r="G143" s="17"/>
      <c r="H143" s="17"/>
      <c r="I143" s="17"/>
      <c r="J143" s="17">
        <v>83</v>
      </c>
      <c r="K143" s="17">
        <v>48</v>
      </c>
      <c r="L143" s="17">
        <v>69</v>
      </c>
      <c r="M143" s="17">
        <v>55</v>
      </c>
      <c r="N143" s="17">
        <v>138</v>
      </c>
      <c r="O143" s="17">
        <v>96</v>
      </c>
      <c r="P143" s="24"/>
      <c r="Q143" s="24"/>
      <c r="R143" s="24"/>
      <c r="S143" s="24"/>
      <c r="T143" s="17"/>
      <c r="U143" s="17"/>
      <c r="V143" s="17"/>
      <c r="W143" s="17"/>
    </row>
    <row r="144" spans="1:23" s="148" customFormat="1">
      <c r="A144" s="13">
        <v>143</v>
      </c>
      <c r="B144" s="181" t="s">
        <v>799</v>
      </c>
      <c r="C144" s="178" t="s">
        <v>84</v>
      </c>
      <c r="D144" s="16"/>
      <c r="E144" s="17"/>
      <c r="F144" s="17"/>
      <c r="G144" s="17"/>
      <c r="H144" s="17"/>
      <c r="I144" s="17"/>
      <c r="J144" s="17">
        <v>109</v>
      </c>
      <c r="K144" s="17">
        <v>91</v>
      </c>
      <c r="L144" s="17">
        <v>76</v>
      </c>
      <c r="M144" s="17">
        <v>78</v>
      </c>
      <c r="N144" s="17">
        <v>38</v>
      </c>
      <c r="O144" s="17">
        <v>65</v>
      </c>
      <c r="P144" s="24"/>
      <c r="Q144" s="24"/>
      <c r="R144" s="24"/>
      <c r="S144" s="24"/>
      <c r="T144" s="17"/>
      <c r="U144" s="17"/>
      <c r="V144" s="17"/>
      <c r="W144" s="17"/>
    </row>
    <row r="145" spans="1:23" s="148" customFormat="1">
      <c r="A145" s="13">
        <v>144</v>
      </c>
      <c r="B145" s="181" t="s">
        <v>800</v>
      </c>
      <c r="C145" s="179" t="s">
        <v>144</v>
      </c>
      <c r="D145" s="16"/>
      <c r="E145" s="17"/>
      <c r="F145" s="17"/>
      <c r="G145" s="17"/>
      <c r="H145" s="17"/>
      <c r="I145" s="17"/>
      <c r="J145" s="17" t="s">
        <v>814</v>
      </c>
      <c r="K145" s="17" t="s">
        <v>814</v>
      </c>
      <c r="L145" s="17" t="s">
        <v>814</v>
      </c>
      <c r="M145" s="17" t="s">
        <v>814</v>
      </c>
      <c r="N145" s="17" t="s">
        <v>814</v>
      </c>
      <c r="O145" s="17" t="s">
        <v>814</v>
      </c>
      <c r="P145" s="24"/>
      <c r="Q145" s="24"/>
      <c r="R145" s="24"/>
      <c r="S145" s="24"/>
      <c r="T145" s="17"/>
      <c r="U145" s="17"/>
      <c r="V145" s="17"/>
      <c r="W145" s="17"/>
    </row>
    <row r="146" spans="1:23" s="148" customFormat="1">
      <c r="A146" s="13">
        <v>145</v>
      </c>
      <c r="B146" s="181" t="s">
        <v>801</v>
      </c>
      <c r="C146" s="178" t="s">
        <v>84</v>
      </c>
      <c r="D146" s="16"/>
      <c r="E146" s="17"/>
      <c r="F146" s="17"/>
      <c r="G146" s="17"/>
      <c r="H146" s="17"/>
      <c r="I146" s="17"/>
      <c r="J146" s="17">
        <v>140</v>
      </c>
      <c r="K146" s="17">
        <v>33</v>
      </c>
      <c r="L146" s="17">
        <v>70</v>
      </c>
      <c r="M146" s="17">
        <v>65</v>
      </c>
      <c r="N146" s="17">
        <v>46</v>
      </c>
      <c r="O146" s="17">
        <v>40</v>
      </c>
      <c r="P146" s="24"/>
      <c r="Q146" s="24"/>
      <c r="R146" s="24"/>
      <c r="S146" s="24"/>
      <c r="T146" s="17"/>
      <c r="U146" s="17"/>
      <c r="V146" s="17"/>
      <c r="W146" s="17"/>
    </row>
    <row r="147" spans="1:23" s="148" customFormat="1">
      <c r="A147" s="13">
        <v>146</v>
      </c>
      <c r="B147" s="181" t="s">
        <v>802</v>
      </c>
      <c r="C147" s="177" t="s">
        <v>80</v>
      </c>
      <c r="D147" s="16"/>
      <c r="E147" s="17"/>
      <c r="F147" s="17"/>
      <c r="G147" s="17"/>
      <c r="H147" s="17"/>
      <c r="I147" s="17"/>
      <c r="J147" s="17" t="s">
        <v>814</v>
      </c>
      <c r="K147" s="17" t="s">
        <v>814</v>
      </c>
      <c r="L147" s="17" t="s">
        <v>814</v>
      </c>
      <c r="M147" s="17" t="s">
        <v>814</v>
      </c>
      <c r="N147" s="17" t="s">
        <v>814</v>
      </c>
      <c r="O147" s="17" t="s">
        <v>814</v>
      </c>
      <c r="P147" s="24"/>
      <c r="Q147" s="24"/>
      <c r="R147" s="24"/>
      <c r="S147" s="24"/>
      <c r="T147" s="17"/>
      <c r="U147" s="17"/>
      <c r="V147" s="17"/>
      <c r="W147" s="17"/>
    </row>
    <row r="148" spans="1:23" s="148" customFormat="1">
      <c r="A148" s="13">
        <v>147</v>
      </c>
      <c r="B148" s="181" t="s">
        <v>803</v>
      </c>
      <c r="C148" s="177" t="s">
        <v>80</v>
      </c>
      <c r="D148" s="16"/>
      <c r="E148" s="17"/>
      <c r="F148" s="17"/>
      <c r="G148" s="17"/>
      <c r="H148" s="17"/>
      <c r="I148" s="17"/>
      <c r="J148" s="17">
        <v>123</v>
      </c>
      <c r="K148" s="17">
        <v>72</v>
      </c>
      <c r="L148" s="17">
        <v>69</v>
      </c>
      <c r="M148" s="17">
        <v>62</v>
      </c>
      <c r="N148" s="17">
        <v>53</v>
      </c>
      <c r="O148" s="17">
        <v>44</v>
      </c>
      <c r="P148" s="24"/>
      <c r="Q148" s="24"/>
      <c r="R148" s="24"/>
      <c r="S148" s="24"/>
      <c r="T148" s="17"/>
      <c r="U148" s="17"/>
      <c r="V148" s="17"/>
      <c r="W148" s="17"/>
    </row>
    <row r="149" spans="1:23" s="148" customFormat="1">
      <c r="A149" s="13">
        <v>148</v>
      </c>
      <c r="B149" s="181" t="s">
        <v>804</v>
      </c>
      <c r="C149" s="178" t="s">
        <v>84</v>
      </c>
      <c r="D149" s="16"/>
      <c r="E149" s="17"/>
      <c r="F149" s="17"/>
      <c r="G149" s="17"/>
      <c r="H149" s="17"/>
      <c r="I149" s="17"/>
      <c r="J149" s="17">
        <v>172</v>
      </c>
      <c r="K149" s="17">
        <v>43</v>
      </c>
      <c r="L149" s="17">
        <v>99</v>
      </c>
      <c r="M149" s="17">
        <v>61</v>
      </c>
      <c r="N149" s="17">
        <v>62</v>
      </c>
      <c r="O149" s="17">
        <v>77</v>
      </c>
      <c r="P149" s="24"/>
      <c r="Q149" s="24"/>
      <c r="R149" s="24"/>
      <c r="S149" s="24"/>
      <c r="T149" s="17"/>
      <c r="U149" s="17"/>
      <c r="V149" s="17"/>
      <c r="W149" s="17"/>
    </row>
    <row r="150" spans="1:23" s="148" customFormat="1">
      <c r="A150" s="13">
        <v>149</v>
      </c>
      <c r="B150" s="181" t="s">
        <v>805</v>
      </c>
      <c r="C150" s="178" t="s">
        <v>84</v>
      </c>
      <c r="D150" s="16"/>
      <c r="E150" s="17"/>
      <c r="F150" s="17"/>
      <c r="G150" s="17"/>
      <c r="H150" s="17"/>
      <c r="I150" s="17"/>
      <c r="J150" s="17" t="s">
        <v>814</v>
      </c>
      <c r="K150" s="17" t="s">
        <v>814</v>
      </c>
      <c r="L150" s="17" t="s">
        <v>814</v>
      </c>
      <c r="M150" s="17" t="s">
        <v>814</v>
      </c>
      <c r="N150" s="17" t="s">
        <v>814</v>
      </c>
      <c r="O150" s="17" t="s">
        <v>814</v>
      </c>
      <c r="P150" s="24"/>
      <c r="Q150" s="24"/>
      <c r="R150" s="24"/>
      <c r="S150" s="24"/>
      <c r="T150" s="17"/>
      <c r="U150" s="17"/>
      <c r="V150" s="17"/>
      <c r="W150" s="17"/>
    </row>
    <row r="151" spans="1:23" s="148" customFormat="1">
      <c r="A151" s="13">
        <v>150</v>
      </c>
      <c r="B151" s="181" t="s">
        <v>806</v>
      </c>
      <c r="C151" s="177" t="s">
        <v>80</v>
      </c>
      <c r="D151" s="16"/>
      <c r="E151" s="17"/>
      <c r="F151" s="17"/>
      <c r="G151" s="17"/>
      <c r="H151" s="17"/>
      <c r="I151" s="17"/>
      <c r="J151" s="17">
        <v>97</v>
      </c>
      <c r="K151" s="17">
        <v>31</v>
      </c>
      <c r="L151" s="17">
        <v>91</v>
      </c>
      <c r="M151" s="17">
        <v>36</v>
      </c>
      <c r="N151" s="17">
        <v>53</v>
      </c>
      <c r="O151" s="17">
        <v>62</v>
      </c>
      <c r="P151" s="24"/>
      <c r="Q151" s="24"/>
      <c r="R151" s="24"/>
      <c r="S151" s="24"/>
      <c r="T151" s="17"/>
      <c r="U151" s="17"/>
      <c r="V151" s="17"/>
      <c r="W151" s="17"/>
    </row>
    <row r="152" spans="1:23" s="148" customFormat="1">
      <c r="A152" s="13">
        <v>151</v>
      </c>
      <c r="B152" s="181" t="s">
        <v>807</v>
      </c>
      <c r="C152" s="177" t="s">
        <v>80</v>
      </c>
      <c r="D152" s="16"/>
      <c r="E152" s="17"/>
      <c r="F152" s="17"/>
      <c r="G152" s="17"/>
      <c r="H152" s="17"/>
      <c r="I152" s="17"/>
      <c r="J152" s="17">
        <v>141</v>
      </c>
      <c r="K152" s="17">
        <v>42</v>
      </c>
      <c r="L152" s="17">
        <v>81</v>
      </c>
      <c r="M152" s="17">
        <v>65</v>
      </c>
      <c r="N152" s="17">
        <v>61</v>
      </c>
      <c r="O152" s="17">
        <v>63</v>
      </c>
      <c r="P152" s="24"/>
      <c r="Q152" s="24"/>
      <c r="R152" s="24"/>
      <c r="S152" s="24"/>
      <c r="T152" s="17"/>
      <c r="U152" s="17"/>
      <c r="V152" s="17"/>
      <c r="W152" s="17"/>
    </row>
    <row r="153" spans="1:23" s="148" customFormat="1">
      <c r="A153" s="13">
        <v>152</v>
      </c>
      <c r="B153" s="181" t="s">
        <v>816</v>
      </c>
      <c r="C153" s="211"/>
      <c r="D153" s="16"/>
      <c r="E153" s="17"/>
      <c r="F153" s="17"/>
      <c r="G153" s="17"/>
      <c r="H153" s="17"/>
      <c r="I153" s="17"/>
      <c r="J153" s="17" t="s">
        <v>814</v>
      </c>
      <c r="K153" s="17" t="s">
        <v>814</v>
      </c>
      <c r="L153" s="17" t="s">
        <v>814</v>
      </c>
      <c r="M153" s="17" t="s">
        <v>814</v>
      </c>
      <c r="N153" s="17" t="s">
        <v>814</v>
      </c>
      <c r="O153" s="17" t="s">
        <v>814</v>
      </c>
      <c r="P153" s="24"/>
      <c r="Q153" s="24"/>
      <c r="R153" s="24"/>
      <c r="S153" s="24"/>
      <c r="T153" s="17"/>
      <c r="U153" s="17"/>
      <c r="V153" s="17"/>
      <c r="W153" s="17"/>
    </row>
    <row r="154" spans="1:23" s="148" customFormat="1">
      <c r="A154" s="13">
        <v>153</v>
      </c>
      <c r="B154" s="181" t="s">
        <v>808</v>
      </c>
      <c r="C154" s="178" t="s">
        <v>84</v>
      </c>
      <c r="D154" s="16"/>
      <c r="E154" s="17"/>
      <c r="F154" s="17"/>
      <c r="G154" s="17"/>
      <c r="H154" s="17"/>
      <c r="I154" s="17"/>
      <c r="J154" s="17">
        <v>141</v>
      </c>
      <c r="K154" s="17">
        <v>56</v>
      </c>
      <c r="L154" s="17">
        <v>82</v>
      </c>
      <c r="M154" s="17">
        <v>79</v>
      </c>
      <c r="N154" s="17">
        <v>55</v>
      </c>
      <c r="O154" s="17">
        <v>87</v>
      </c>
      <c r="P154" s="24"/>
      <c r="Q154" s="24"/>
      <c r="R154" s="24"/>
      <c r="S154" s="24"/>
      <c r="T154" s="17"/>
      <c r="U154" s="17"/>
      <c r="V154" s="17"/>
      <c r="W154" s="17"/>
    </row>
    <row r="155" spans="1:23" s="148" customFormat="1">
      <c r="A155" s="13">
        <v>154</v>
      </c>
      <c r="B155" s="181" t="s">
        <v>809</v>
      </c>
      <c r="C155" s="179" t="s">
        <v>144</v>
      </c>
      <c r="D155" s="16"/>
      <c r="E155" s="17"/>
      <c r="F155" s="17"/>
      <c r="G155" s="17"/>
      <c r="H155" s="17"/>
      <c r="I155" s="17"/>
      <c r="J155" s="17">
        <v>172</v>
      </c>
      <c r="K155" s="17">
        <v>43</v>
      </c>
      <c r="L155" s="17">
        <v>100</v>
      </c>
      <c r="M155" s="17">
        <v>109</v>
      </c>
      <c r="N155" s="17">
        <v>88</v>
      </c>
      <c r="O155" s="17">
        <v>51</v>
      </c>
      <c r="P155" s="24"/>
      <c r="Q155" s="24"/>
      <c r="R155" s="24"/>
      <c r="S155" s="24"/>
      <c r="T155" s="17"/>
      <c r="U155" s="17"/>
      <c r="V155" s="17"/>
      <c r="W155" s="17"/>
    </row>
    <row r="156" spans="1:23" s="148" customFormat="1">
      <c r="A156" s="13">
        <v>155</v>
      </c>
      <c r="B156" s="181" t="s">
        <v>816</v>
      </c>
      <c r="C156" s="211"/>
      <c r="D156" s="16"/>
      <c r="E156" s="17"/>
      <c r="F156" s="17"/>
      <c r="G156" s="17"/>
      <c r="H156" s="17"/>
      <c r="I156" s="17"/>
      <c r="J156" s="17" t="s">
        <v>814</v>
      </c>
      <c r="K156" s="17" t="s">
        <v>814</v>
      </c>
      <c r="L156" s="17" t="s">
        <v>814</v>
      </c>
      <c r="M156" s="17" t="s">
        <v>814</v>
      </c>
      <c r="N156" s="17" t="s">
        <v>814</v>
      </c>
      <c r="O156" s="17" t="s">
        <v>814</v>
      </c>
      <c r="P156" s="24"/>
      <c r="Q156" s="24"/>
      <c r="R156" s="24"/>
      <c r="S156" s="24"/>
      <c r="T156" s="17"/>
      <c r="U156" s="17"/>
      <c r="V156" s="17"/>
      <c r="W156" s="17"/>
    </row>
    <row r="157" spans="1:23" s="148" customFormat="1">
      <c r="A157" s="13">
        <v>156</v>
      </c>
      <c r="B157" s="181" t="s">
        <v>810</v>
      </c>
      <c r="C157" s="180" t="s">
        <v>215</v>
      </c>
      <c r="D157" s="16"/>
      <c r="E157" s="17"/>
      <c r="F157" s="17"/>
      <c r="G157" s="17"/>
      <c r="H157" s="17"/>
      <c r="I157" s="17"/>
      <c r="J157" s="17">
        <v>180</v>
      </c>
      <c r="K157" s="17">
        <v>35</v>
      </c>
      <c r="L157" s="17">
        <v>128</v>
      </c>
      <c r="M157" s="17">
        <v>26</v>
      </c>
      <c r="N157" s="17">
        <v>51</v>
      </c>
      <c r="O157" s="17">
        <v>14</v>
      </c>
      <c r="P157" s="24"/>
      <c r="Q157" s="24"/>
      <c r="R157" s="24"/>
      <c r="S157" s="24"/>
      <c r="T157" s="17"/>
      <c r="U157" s="17"/>
      <c r="V157" s="17"/>
      <c r="W157" s="17"/>
    </row>
    <row r="158" spans="1:23" s="148" customFormat="1">
      <c r="A158" s="13">
        <v>157</v>
      </c>
      <c r="B158" s="181" t="s">
        <v>811</v>
      </c>
      <c r="C158" s="179" t="s">
        <v>144</v>
      </c>
      <c r="D158" s="16"/>
      <c r="E158" s="17"/>
      <c r="F158" s="17"/>
      <c r="G158" s="17"/>
      <c r="H158" s="17"/>
      <c r="I158" s="17"/>
      <c r="J158" s="17">
        <v>165</v>
      </c>
      <c r="K158" s="17">
        <v>82</v>
      </c>
      <c r="L158" s="17">
        <v>97</v>
      </c>
      <c r="M158" s="17">
        <v>62</v>
      </c>
      <c r="N158" s="17">
        <v>86</v>
      </c>
      <c r="O158" s="17">
        <v>101</v>
      </c>
      <c r="P158" s="24"/>
      <c r="Q158" s="24"/>
      <c r="R158" s="24"/>
      <c r="S158" s="24"/>
      <c r="T158" s="17"/>
      <c r="U158" s="17"/>
      <c r="V158" s="17"/>
      <c r="W158" s="17"/>
    </row>
    <row r="159" spans="1:23" s="148" customFormat="1">
      <c r="A159" s="13">
        <v>158</v>
      </c>
      <c r="B159" s="181" t="s">
        <v>812</v>
      </c>
      <c r="C159" s="179" t="s">
        <v>144</v>
      </c>
      <c r="D159" s="16"/>
      <c r="E159" s="17"/>
      <c r="F159" s="17"/>
      <c r="G159" s="17"/>
      <c r="H159" s="17"/>
      <c r="I159" s="17"/>
      <c r="J159" s="17">
        <v>158</v>
      </c>
      <c r="K159" s="17">
        <v>47</v>
      </c>
      <c r="L159" s="17">
        <v>113</v>
      </c>
      <c r="M159" s="17">
        <v>34</v>
      </c>
      <c r="N159" s="17">
        <v>81</v>
      </c>
      <c r="O159" s="17">
        <v>131</v>
      </c>
      <c r="P159" s="24"/>
      <c r="Q159" s="24"/>
      <c r="R159" s="24"/>
      <c r="S159" s="24"/>
      <c r="T159" s="17"/>
      <c r="U159" s="17"/>
      <c r="V159" s="17"/>
      <c r="W159" s="17"/>
    </row>
    <row r="160" spans="1:23" s="148" customFormat="1">
      <c r="A160" s="13">
        <v>159</v>
      </c>
      <c r="B160" s="181" t="s">
        <v>813</v>
      </c>
      <c r="C160" s="179" t="s">
        <v>144</v>
      </c>
      <c r="D160" s="16"/>
      <c r="E160" s="17"/>
      <c r="F160" s="17"/>
      <c r="G160" s="17"/>
      <c r="H160" s="17"/>
      <c r="I160" s="17"/>
      <c r="J160" s="17">
        <v>131</v>
      </c>
      <c r="K160" s="17">
        <v>65</v>
      </c>
      <c r="L160" s="17">
        <v>129</v>
      </c>
      <c r="M160" s="17">
        <v>89</v>
      </c>
      <c r="N160" s="17">
        <v>48</v>
      </c>
      <c r="O160" s="17">
        <v>78</v>
      </c>
      <c r="P160" s="24"/>
      <c r="Q160" s="24"/>
      <c r="R160" s="24"/>
      <c r="S160" s="24"/>
      <c r="T160" s="17"/>
      <c r="U160" s="17"/>
      <c r="V160" s="17"/>
      <c r="W160" s="17"/>
    </row>
    <row r="161" spans="1:23" s="148" customFormat="1">
      <c r="A161" s="13">
        <v>160</v>
      </c>
      <c r="B161" s="181" t="s">
        <v>897</v>
      </c>
      <c r="C161" s="179" t="s">
        <v>144</v>
      </c>
      <c r="D161" s="16"/>
      <c r="E161" s="17"/>
      <c r="F161" s="17"/>
      <c r="G161" s="17"/>
      <c r="H161" s="17"/>
      <c r="I161" s="17"/>
      <c r="J161" s="17" t="s">
        <v>814</v>
      </c>
      <c r="K161" s="17" t="s">
        <v>814</v>
      </c>
      <c r="L161" s="17" t="s">
        <v>814</v>
      </c>
      <c r="M161" s="17" t="s">
        <v>814</v>
      </c>
      <c r="N161" s="17" t="s">
        <v>814</v>
      </c>
      <c r="O161" s="17" t="s">
        <v>814</v>
      </c>
      <c r="P161" s="24"/>
      <c r="Q161" s="24"/>
      <c r="R161" s="24"/>
      <c r="S161" s="24"/>
      <c r="T161" s="17"/>
      <c r="U161" s="17"/>
      <c r="V161" s="17"/>
      <c r="W161" s="17"/>
    </row>
    <row r="162" spans="1:23" s="148" customFormat="1">
      <c r="A162" s="13">
        <v>161</v>
      </c>
      <c r="B162" s="181" t="s">
        <v>899</v>
      </c>
      <c r="C162" s="179" t="s">
        <v>144</v>
      </c>
      <c r="D162" s="16"/>
      <c r="E162" s="17"/>
      <c r="F162" s="17"/>
      <c r="G162" s="17"/>
      <c r="H162" s="17"/>
      <c r="I162" s="17"/>
      <c r="J162" s="17" t="s">
        <v>814</v>
      </c>
      <c r="K162" s="17" t="s">
        <v>814</v>
      </c>
      <c r="L162" s="17" t="s">
        <v>814</v>
      </c>
      <c r="M162" s="17" t="s">
        <v>814</v>
      </c>
      <c r="N162" s="17" t="s">
        <v>814</v>
      </c>
      <c r="O162" s="17" t="s">
        <v>814</v>
      </c>
      <c r="P162" s="24"/>
      <c r="Q162" s="24"/>
      <c r="R162" s="24"/>
      <c r="S162" s="24"/>
      <c r="T162" s="17"/>
      <c r="U162" s="17"/>
      <c r="V162" s="17"/>
      <c r="W162" s="17"/>
    </row>
    <row r="163" spans="1:23" s="148" customFormat="1">
      <c r="A163" s="13">
        <v>162</v>
      </c>
      <c r="B163" s="181" t="s">
        <v>816</v>
      </c>
      <c r="C163" s="211"/>
      <c r="D163" s="16"/>
      <c r="E163" s="17"/>
      <c r="F163" s="17"/>
      <c r="G163" s="17"/>
      <c r="H163" s="17"/>
      <c r="I163" s="17"/>
      <c r="J163" s="17" t="s">
        <v>814</v>
      </c>
      <c r="K163" s="17" t="s">
        <v>814</v>
      </c>
      <c r="L163" s="17" t="s">
        <v>814</v>
      </c>
      <c r="M163" s="17" t="s">
        <v>814</v>
      </c>
      <c r="N163" s="17" t="s">
        <v>814</v>
      </c>
      <c r="O163" s="17" t="s">
        <v>814</v>
      </c>
      <c r="P163" s="24"/>
      <c r="Q163" s="24"/>
      <c r="R163" s="24"/>
      <c r="S163" s="24"/>
      <c r="T163" s="17"/>
      <c r="U163" s="17"/>
      <c r="V163" s="17"/>
      <c r="W163" s="17"/>
    </row>
    <row r="164" spans="1:23" s="148" customFormat="1">
      <c r="A164" s="13">
        <v>163</v>
      </c>
      <c r="B164" s="181" t="s">
        <v>816</v>
      </c>
      <c r="C164" s="211"/>
      <c r="D164" s="16"/>
      <c r="E164" s="17"/>
      <c r="F164" s="17"/>
      <c r="G164" s="17"/>
      <c r="H164" s="17"/>
      <c r="I164" s="17"/>
      <c r="J164" s="17" t="s">
        <v>814</v>
      </c>
      <c r="K164" s="17" t="s">
        <v>814</v>
      </c>
      <c r="L164" s="17" t="s">
        <v>814</v>
      </c>
      <c r="M164" s="17" t="s">
        <v>814</v>
      </c>
      <c r="N164" s="17" t="s">
        <v>814</v>
      </c>
      <c r="O164" s="17" t="s">
        <v>814</v>
      </c>
      <c r="P164" s="24"/>
      <c r="Q164" s="24"/>
      <c r="R164" s="24"/>
      <c r="S164" s="24"/>
      <c r="T164" s="17"/>
      <c r="U164" s="17"/>
      <c r="V164" s="17"/>
      <c r="W164" s="17"/>
    </row>
    <row r="165" spans="1:23" s="148" customFormat="1">
      <c r="A165" s="13">
        <v>164</v>
      </c>
      <c r="B165" s="181" t="s">
        <v>901</v>
      </c>
      <c r="C165" s="179" t="s">
        <v>144</v>
      </c>
      <c r="D165" s="16"/>
      <c r="E165" s="17"/>
      <c r="F165" s="17"/>
      <c r="G165" s="17"/>
      <c r="H165" s="17"/>
      <c r="I165" s="17"/>
      <c r="J165" s="17" t="s">
        <v>814</v>
      </c>
      <c r="K165" s="17" t="s">
        <v>814</v>
      </c>
      <c r="L165" s="17" t="s">
        <v>814</v>
      </c>
      <c r="M165" s="17" t="s">
        <v>814</v>
      </c>
      <c r="N165" s="17" t="s">
        <v>814</v>
      </c>
      <c r="O165" s="17" t="s">
        <v>814</v>
      </c>
      <c r="P165" s="24"/>
      <c r="Q165" s="24"/>
      <c r="R165" s="24"/>
      <c r="S165" s="24"/>
      <c r="T165" s="17"/>
      <c r="U165" s="17"/>
      <c r="V165" s="17"/>
      <c r="W165" s="17"/>
    </row>
    <row r="166" spans="1:23" s="148" customFormat="1">
      <c r="A166" s="13">
        <v>165</v>
      </c>
      <c r="B166" s="181" t="s">
        <v>903</v>
      </c>
      <c r="C166" s="179" t="s">
        <v>144</v>
      </c>
      <c r="D166" s="16"/>
      <c r="E166" s="17"/>
      <c r="F166" s="17"/>
      <c r="G166" s="17"/>
      <c r="H166" s="17"/>
      <c r="I166" s="17"/>
      <c r="J166" s="17" t="s">
        <v>814</v>
      </c>
      <c r="K166" s="17" t="s">
        <v>814</v>
      </c>
      <c r="L166" s="17" t="s">
        <v>814</v>
      </c>
      <c r="M166" s="17" t="s">
        <v>814</v>
      </c>
      <c r="N166" s="17" t="s">
        <v>814</v>
      </c>
      <c r="O166" s="17" t="s">
        <v>814</v>
      </c>
      <c r="P166" s="24"/>
      <c r="Q166" s="24"/>
      <c r="R166" s="24"/>
      <c r="S166" s="24"/>
      <c r="T166" s="17"/>
      <c r="U166" s="17"/>
      <c r="V166" s="17"/>
      <c r="W166" s="17"/>
    </row>
    <row r="167" spans="1:23" s="148" customFormat="1">
      <c r="A167" s="13">
        <v>166</v>
      </c>
      <c r="B167" s="181" t="s">
        <v>905</v>
      </c>
      <c r="C167" s="180" t="s">
        <v>215</v>
      </c>
      <c r="D167" s="16"/>
      <c r="E167" s="17"/>
      <c r="F167" s="17"/>
      <c r="G167" s="17"/>
      <c r="H167" s="17"/>
      <c r="I167" s="17"/>
      <c r="J167" s="17" t="s">
        <v>814</v>
      </c>
      <c r="K167" s="17" t="s">
        <v>814</v>
      </c>
      <c r="L167" s="17" t="s">
        <v>814</v>
      </c>
      <c r="M167" s="17" t="s">
        <v>814</v>
      </c>
      <c r="N167" s="17" t="s">
        <v>814</v>
      </c>
      <c r="O167" s="17" t="s">
        <v>814</v>
      </c>
      <c r="P167" s="24"/>
      <c r="Q167" s="24"/>
      <c r="R167" s="24"/>
      <c r="S167" s="24"/>
      <c r="T167" s="17"/>
      <c r="U167" s="17"/>
      <c r="V167" s="17"/>
      <c r="W167" s="17"/>
    </row>
    <row r="168" spans="1:23" s="148" customFormat="1">
      <c r="A168" s="13">
        <v>167</v>
      </c>
      <c r="B168" s="181" t="s">
        <v>816</v>
      </c>
      <c r="C168" s="211"/>
      <c r="D168" s="16"/>
      <c r="E168" s="17"/>
      <c r="F168" s="17"/>
      <c r="G168" s="17"/>
      <c r="H168" s="17"/>
      <c r="I168" s="17"/>
      <c r="J168" s="17" t="s">
        <v>814</v>
      </c>
      <c r="K168" s="17" t="s">
        <v>814</v>
      </c>
      <c r="L168" s="17" t="s">
        <v>814</v>
      </c>
      <c r="M168" s="17" t="s">
        <v>814</v>
      </c>
      <c r="N168" s="17" t="s">
        <v>814</v>
      </c>
      <c r="O168" s="17" t="s">
        <v>814</v>
      </c>
      <c r="P168" s="24"/>
      <c r="Q168" s="24"/>
      <c r="R168" s="24"/>
      <c r="S168" s="24"/>
      <c r="T168" s="17"/>
      <c r="U168" s="17"/>
      <c r="V168" s="17"/>
      <c r="W168" s="17"/>
    </row>
    <row r="169" spans="1:23" s="148" customFormat="1">
      <c r="A169" s="13">
        <v>168</v>
      </c>
      <c r="B169" s="181" t="s">
        <v>907</v>
      </c>
      <c r="C169" s="179" t="s">
        <v>144</v>
      </c>
      <c r="D169" s="16"/>
      <c r="E169" s="17"/>
      <c r="F169" s="17"/>
      <c r="G169" s="17"/>
      <c r="H169" s="17"/>
      <c r="I169" s="17"/>
      <c r="J169" s="17" t="s">
        <v>814</v>
      </c>
      <c r="K169" s="17" t="s">
        <v>814</v>
      </c>
      <c r="L169" s="17" t="s">
        <v>814</v>
      </c>
      <c r="M169" s="17" t="s">
        <v>814</v>
      </c>
      <c r="N169" s="17" t="s">
        <v>814</v>
      </c>
      <c r="O169" s="17" t="s">
        <v>814</v>
      </c>
      <c r="P169" s="24"/>
      <c r="Q169" s="24"/>
      <c r="R169" s="24"/>
      <c r="S169" s="24"/>
      <c r="T169" s="17"/>
      <c r="U169" s="17"/>
      <c r="V169" s="17"/>
      <c r="W169" s="17"/>
    </row>
    <row r="170" spans="1:23" s="148" customFormat="1">
      <c r="A170" s="13">
        <v>169</v>
      </c>
      <c r="B170" s="181" t="s">
        <v>909</v>
      </c>
      <c r="C170" s="179" t="s">
        <v>144</v>
      </c>
      <c r="D170" s="16"/>
      <c r="E170" s="17"/>
      <c r="F170" s="17"/>
      <c r="G170" s="17"/>
      <c r="H170" s="17"/>
      <c r="I170" s="17"/>
      <c r="J170" s="17">
        <v>120</v>
      </c>
      <c r="K170" s="17">
        <v>60</v>
      </c>
      <c r="L170" s="17">
        <v>96</v>
      </c>
      <c r="M170" s="17">
        <v>125</v>
      </c>
      <c r="N170" s="17">
        <v>71</v>
      </c>
      <c r="O170" s="17">
        <v>80</v>
      </c>
      <c r="P170" s="24"/>
      <c r="Q170" s="24"/>
      <c r="R170" s="24"/>
      <c r="S170" s="24"/>
      <c r="T170" s="17"/>
      <c r="U170" s="17"/>
      <c r="V170" s="17"/>
      <c r="W170" s="17"/>
    </row>
    <row r="171" spans="1:23" s="148" customFormat="1">
      <c r="A171" s="13">
        <v>170</v>
      </c>
      <c r="B171" s="181" t="s">
        <v>816</v>
      </c>
      <c r="C171" s="211"/>
      <c r="D171" s="16"/>
      <c r="E171" s="17"/>
      <c r="F171" s="17"/>
      <c r="G171" s="17"/>
      <c r="H171" s="17"/>
      <c r="I171" s="17"/>
      <c r="J171" s="17" t="s">
        <v>814</v>
      </c>
      <c r="K171" s="17" t="s">
        <v>814</v>
      </c>
      <c r="L171" s="17" t="s">
        <v>814</v>
      </c>
      <c r="M171" s="17" t="s">
        <v>814</v>
      </c>
      <c r="N171" s="17" t="s">
        <v>814</v>
      </c>
      <c r="O171" s="17" t="s">
        <v>814</v>
      </c>
      <c r="P171" s="24"/>
      <c r="Q171" s="24"/>
      <c r="R171" s="24"/>
      <c r="S171" s="24"/>
      <c r="T171" s="17"/>
      <c r="U171" s="17"/>
      <c r="V171" s="17"/>
      <c r="W171" s="17"/>
    </row>
    <row r="172" spans="1:23" s="148" customFormat="1">
      <c r="A172" s="13">
        <v>171</v>
      </c>
      <c r="B172" s="181" t="s">
        <v>911</v>
      </c>
      <c r="C172" s="180" t="s">
        <v>215</v>
      </c>
      <c r="D172" s="16"/>
      <c r="E172" s="17"/>
      <c r="F172" s="17"/>
      <c r="G172" s="17"/>
      <c r="H172" s="17"/>
      <c r="I172" s="17"/>
      <c r="J172" s="17" t="s">
        <v>814</v>
      </c>
      <c r="K172" s="17" t="s">
        <v>814</v>
      </c>
      <c r="L172" s="17" t="s">
        <v>814</v>
      </c>
      <c r="M172" s="17" t="s">
        <v>814</v>
      </c>
      <c r="N172" s="17" t="s">
        <v>814</v>
      </c>
      <c r="O172" s="17" t="s">
        <v>814</v>
      </c>
      <c r="P172" s="24"/>
      <c r="Q172" s="24"/>
      <c r="R172" s="24"/>
      <c r="S172" s="24"/>
      <c r="T172" s="17"/>
      <c r="U172" s="17"/>
      <c r="V172" s="17"/>
      <c r="W172" s="17"/>
    </row>
    <row r="173" spans="1:23" s="148" customFormat="1">
      <c r="A173" s="13">
        <v>172</v>
      </c>
      <c r="B173" s="181" t="s">
        <v>816</v>
      </c>
      <c r="C173" s="211"/>
      <c r="D173" s="16"/>
      <c r="E173" s="17"/>
      <c r="F173" s="17"/>
      <c r="G173" s="17"/>
      <c r="H173" s="17"/>
      <c r="I173" s="17"/>
      <c r="J173" s="17" t="s">
        <v>814</v>
      </c>
      <c r="K173" s="17" t="s">
        <v>814</v>
      </c>
      <c r="L173" s="17" t="s">
        <v>814</v>
      </c>
      <c r="M173" s="17" t="s">
        <v>814</v>
      </c>
      <c r="N173" s="17" t="s">
        <v>814</v>
      </c>
      <c r="O173" s="17" t="s">
        <v>814</v>
      </c>
      <c r="P173" s="24"/>
      <c r="Q173" s="24"/>
      <c r="R173" s="24"/>
      <c r="S173" s="24"/>
      <c r="T173" s="17"/>
      <c r="U173" s="17"/>
      <c r="V173" s="17"/>
      <c r="W173" s="17"/>
    </row>
    <row r="174" spans="1:23" s="148" customFormat="1">
      <c r="A174" s="13">
        <v>173</v>
      </c>
      <c r="B174" s="181" t="s">
        <v>913</v>
      </c>
      <c r="C174" s="180" t="s">
        <v>215</v>
      </c>
      <c r="D174" s="16"/>
      <c r="E174" s="17"/>
      <c r="F174" s="17"/>
      <c r="G174" s="17"/>
      <c r="H174" s="17"/>
      <c r="I174" s="17"/>
      <c r="J174" s="17" t="s">
        <v>814</v>
      </c>
      <c r="K174" s="17" t="s">
        <v>814</v>
      </c>
      <c r="L174" s="17" t="s">
        <v>814</v>
      </c>
      <c r="M174" s="17" t="s">
        <v>814</v>
      </c>
      <c r="N174" s="17" t="s">
        <v>814</v>
      </c>
      <c r="O174" s="17" t="s">
        <v>814</v>
      </c>
      <c r="P174" s="24"/>
      <c r="Q174" s="24"/>
      <c r="R174" s="24"/>
      <c r="S174" s="24"/>
      <c r="T174" s="17"/>
      <c r="U174" s="17"/>
      <c r="V174" s="17"/>
      <c r="W174" s="17"/>
    </row>
    <row r="175" spans="1:23" s="148" customFormat="1">
      <c r="A175" s="13">
        <v>174</v>
      </c>
      <c r="B175" s="181" t="s">
        <v>915</v>
      </c>
      <c r="C175" s="180" t="s">
        <v>215</v>
      </c>
      <c r="D175" s="16"/>
      <c r="E175" s="17"/>
      <c r="F175" s="17"/>
      <c r="G175" s="17"/>
      <c r="H175" s="17"/>
      <c r="I175" s="17"/>
      <c r="J175" s="17" t="s">
        <v>814</v>
      </c>
      <c r="K175" s="17" t="s">
        <v>814</v>
      </c>
      <c r="L175" s="17" t="s">
        <v>814</v>
      </c>
      <c r="M175" s="17" t="s">
        <v>814</v>
      </c>
      <c r="N175" s="17" t="s">
        <v>814</v>
      </c>
      <c r="O175" s="17" t="s">
        <v>814</v>
      </c>
      <c r="P175" s="24"/>
      <c r="Q175" s="24"/>
      <c r="R175" s="24"/>
      <c r="S175" s="24"/>
      <c r="T175" s="17"/>
      <c r="U175" s="17"/>
      <c r="V175" s="17"/>
      <c r="W175" s="17"/>
    </row>
    <row r="176" spans="1:23" s="148" customFormat="1">
      <c r="A176" s="13">
        <v>175</v>
      </c>
      <c r="B176" s="181" t="s">
        <v>917</v>
      </c>
      <c r="C176" s="180" t="s">
        <v>215</v>
      </c>
      <c r="D176" s="16"/>
      <c r="E176" s="17"/>
      <c r="F176" s="17"/>
      <c r="G176" s="17"/>
      <c r="H176" s="17"/>
      <c r="I176" s="17"/>
      <c r="J176" s="17" t="s">
        <v>814</v>
      </c>
      <c r="K176" s="17" t="s">
        <v>814</v>
      </c>
      <c r="L176" s="17" t="s">
        <v>814</v>
      </c>
      <c r="M176" s="17" t="s">
        <v>814</v>
      </c>
      <c r="N176" s="17" t="s">
        <v>814</v>
      </c>
      <c r="O176" s="17" t="s">
        <v>814</v>
      </c>
      <c r="P176" s="24"/>
      <c r="Q176" s="24"/>
      <c r="R176" s="24"/>
      <c r="S176" s="24"/>
      <c r="T176" s="17"/>
      <c r="U176" s="17"/>
      <c r="V176" s="17"/>
      <c r="W176" s="17"/>
    </row>
    <row r="177" spans="1:23" s="148" customFormat="1">
      <c r="A177" s="13">
        <v>176</v>
      </c>
      <c r="B177" s="181" t="s">
        <v>919</v>
      </c>
      <c r="C177" s="22" t="s">
        <v>250</v>
      </c>
      <c r="D177" s="16"/>
      <c r="E177" s="17"/>
      <c r="F177" s="17"/>
      <c r="G177" s="17"/>
      <c r="H177" s="17"/>
      <c r="I177" s="17"/>
      <c r="J177" s="17" t="s">
        <v>814</v>
      </c>
      <c r="K177" s="17" t="s">
        <v>814</v>
      </c>
      <c r="L177" s="17" t="s">
        <v>814</v>
      </c>
      <c r="M177" s="17" t="s">
        <v>814</v>
      </c>
      <c r="N177" s="17" t="s">
        <v>814</v>
      </c>
      <c r="O177" s="17" t="s">
        <v>814</v>
      </c>
      <c r="P177" s="24"/>
      <c r="Q177" s="24"/>
      <c r="R177" s="24"/>
      <c r="S177" s="24"/>
      <c r="T177" s="17"/>
      <c r="U177" s="17"/>
      <c r="V177" s="17"/>
      <c r="W177" s="17"/>
    </row>
    <row r="178" spans="1:23" s="148" customFormat="1">
      <c r="A178" s="13">
        <v>177</v>
      </c>
      <c r="B178" s="181" t="s">
        <v>816</v>
      </c>
      <c r="C178" s="211"/>
      <c r="D178" s="16"/>
      <c r="E178" s="17"/>
      <c r="F178" s="17"/>
      <c r="G178" s="17"/>
      <c r="H178" s="17"/>
      <c r="I178" s="17"/>
      <c r="J178" s="17" t="s">
        <v>814</v>
      </c>
      <c r="K178" s="17" t="s">
        <v>814</v>
      </c>
      <c r="L178" s="17" t="s">
        <v>814</v>
      </c>
      <c r="M178" s="17" t="s">
        <v>814</v>
      </c>
      <c r="N178" s="17" t="s">
        <v>814</v>
      </c>
      <c r="O178" s="17" t="s">
        <v>814</v>
      </c>
      <c r="P178" s="24"/>
      <c r="Q178" s="24"/>
      <c r="R178" s="24"/>
      <c r="S178" s="24"/>
      <c r="T178" s="17"/>
      <c r="U178" s="17"/>
      <c r="V178" s="17"/>
      <c r="W178" s="17"/>
    </row>
    <row r="179" spans="1:23" s="148" customFormat="1">
      <c r="A179" s="13">
        <v>178</v>
      </c>
      <c r="B179" s="181" t="s">
        <v>921</v>
      </c>
      <c r="C179" s="179" t="s">
        <v>144</v>
      </c>
      <c r="D179" s="16"/>
      <c r="E179" s="17"/>
      <c r="F179" s="17"/>
      <c r="G179" s="17"/>
      <c r="H179" s="17"/>
      <c r="I179" s="17"/>
      <c r="J179" s="17" t="s">
        <v>814</v>
      </c>
      <c r="K179" s="17" t="s">
        <v>814</v>
      </c>
      <c r="L179" s="17" t="s">
        <v>814</v>
      </c>
      <c r="M179" s="17" t="s">
        <v>814</v>
      </c>
      <c r="N179" s="17" t="s">
        <v>814</v>
      </c>
      <c r="O179" s="17" t="s">
        <v>814</v>
      </c>
      <c r="P179" s="24"/>
      <c r="Q179" s="24"/>
      <c r="R179" s="24"/>
      <c r="S179" s="24"/>
      <c r="T179" s="17"/>
      <c r="U179" s="17"/>
      <c r="V179" s="17"/>
      <c r="W179" s="17"/>
    </row>
    <row r="180" spans="1:23" s="148" customFormat="1">
      <c r="A180" s="13">
        <v>179</v>
      </c>
      <c r="B180" s="181" t="s">
        <v>923</v>
      </c>
      <c r="C180" s="180" t="s">
        <v>215</v>
      </c>
      <c r="D180" s="16"/>
      <c r="E180" s="17"/>
      <c r="F180" s="17"/>
      <c r="G180" s="17"/>
      <c r="H180" s="17"/>
      <c r="I180" s="17"/>
      <c r="J180" s="17" t="s">
        <v>814</v>
      </c>
      <c r="K180" s="17" t="s">
        <v>814</v>
      </c>
      <c r="L180" s="17" t="s">
        <v>814</v>
      </c>
      <c r="M180" s="17" t="s">
        <v>814</v>
      </c>
      <c r="N180" s="17" t="s">
        <v>814</v>
      </c>
      <c r="O180" s="17" t="s">
        <v>814</v>
      </c>
      <c r="P180" s="24"/>
      <c r="Q180" s="24"/>
      <c r="R180" s="24"/>
      <c r="S180" s="24"/>
      <c r="T180" s="17"/>
      <c r="U180" s="17"/>
      <c r="V180" s="17"/>
      <c r="W180" s="17"/>
    </row>
    <row r="181" spans="1:23" s="148" customFormat="1">
      <c r="A181" s="13">
        <v>180</v>
      </c>
      <c r="B181" s="181" t="s">
        <v>924</v>
      </c>
      <c r="C181" s="179" t="s">
        <v>144</v>
      </c>
      <c r="D181" s="16"/>
      <c r="E181" s="17"/>
      <c r="F181" s="17"/>
      <c r="G181" s="17"/>
      <c r="H181" s="17"/>
      <c r="I181" s="17"/>
      <c r="J181" s="17" t="s">
        <v>814</v>
      </c>
      <c r="K181" s="17" t="s">
        <v>814</v>
      </c>
      <c r="L181" s="17" t="s">
        <v>814</v>
      </c>
      <c r="M181" s="17" t="s">
        <v>814</v>
      </c>
      <c r="N181" s="17" t="s">
        <v>814</v>
      </c>
      <c r="O181" s="17" t="s">
        <v>814</v>
      </c>
      <c r="P181" s="24"/>
      <c r="Q181" s="24"/>
      <c r="R181" s="24"/>
      <c r="S181" s="24"/>
      <c r="T181" s="17"/>
      <c r="U181" s="17"/>
      <c r="V181" s="17"/>
      <c r="W181" s="17"/>
    </row>
    <row r="182" spans="1:23" s="148" customFormat="1">
      <c r="A182" s="13">
        <v>181</v>
      </c>
      <c r="B182" s="181" t="s">
        <v>926</v>
      </c>
      <c r="C182" s="179" t="s">
        <v>144</v>
      </c>
      <c r="D182" s="16"/>
      <c r="E182" s="17"/>
      <c r="F182" s="17"/>
      <c r="G182" s="17"/>
      <c r="H182" s="17"/>
      <c r="I182" s="17"/>
      <c r="J182" s="17" t="s">
        <v>814</v>
      </c>
      <c r="K182" s="17" t="s">
        <v>814</v>
      </c>
      <c r="L182" s="17" t="s">
        <v>814</v>
      </c>
      <c r="M182" s="17" t="s">
        <v>814</v>
      </c>
      <c r="N182" s="17" t="s">
        <v>814</v>
      </c>
      <c r="O182" s="17" t="s">
        <v>814</v>
      </c>
      <c r="P182" s="24"/>
      <c r="Q182" s="24"/>
      <c r="R182" s="24"/>
      <c r="S182" s="24"/>
      <c r="T182" s="17"/>
      <c r="U182" s="17"/>
      <c r="V182" s="17"/>
      <c r="W182" s="17"/>
    </row>
    <row r="183" spans="1:23" s="148" customFormat="1">
      <c r="A183" s="13">
        <v>182</v>
      </c>
      <c r="B183" s="181" t="s">
        <v>816</v>
      </c>
      <c r="C183" s="211"/>
      <c r="D183" s="16"/>
      <c r="E183" s="17"/>
      <c r="F183" s="17"/>
      <c r="G183" s="17"/>
      <c r="H183" s="17"/>
      <c r="I183" s="17"/>
      <c r="J183" s="17" t="s">
        <v>814</v>
      </c>
      <c r="K183" s="17" t="s">
        <v>814</v>
      </c>
      <c r="L183" s="17" t="s">
        <v>814</v>
      </c>
      <c r="M183" s="17" t="s">
        <v>814</v>
      </c>
      <c r="N183" s="17" t="s">
        <v>814</v>
      </c>
      <c r="O183" s="17" t="s">
        <v>814</v>
      </c>
      <c r="P183" s="24"/>
      <c r="Q183" s="24"/>
      <c r="R183" s="24"/>
      <c r="S183" s="24"/>
      <c r="T183" s="17"/>
      <c r="U183" s="17"/>
      <c r="V183" s="17"/>
      <c r="W183" s="17"/>
    </row>
    <row r="184" spans="1:23" s="148" customFormat="1">
      <c r="A184" s="13">
        <v>183</v>
      </c>
      <c r="B184" s="181" t="s">
        <v>928</v>
      </c>
      <c r="C184" s="180" t="s">
        <v>215</v>
      </c>
      <c r="D184" s="16"/>
      <c r="E184" s="17"/>
      <c r="F184" s="17"/>
      <c r="G184" s="17"/>
      <c r="H184" s="17"/>
      <c r="I184" s="17"/>
      <c r="J184" s="17" t="s">
        <v>814</v>
      </c>
      <c r="K184" s="17" t="s">
        <v>814</v>
      </c>
      <c r="L184" s="17" t="s">
        <v>814</v>
      </c>
      <c r="M184" s="17" t="s">
        <v>814</v>
      </c>
      <c r="N184" s="17" t="s">
        <v>814</v>
      </c>
      <c r="O184" s="17" t="s">
        <v>814</v>
      </c>
      <c r="P184" s="24"/>
      <c r="Q184" s="24"/>
      <c r="R184" s="24"/>
      <c r="S184" s="24"/>
      <c r="T184" s="17"/>
      <c r="U184" s="17"/>
      <c r="V184" s="17"/>
      <c r="W184" s="17"/>
    </row>
    <row r="185" spans="1:23" s="148" customFormat="1">
      <c r="A185" s="13">
        <v>184</v>
      </c>
      <c r="B185" s="181" t="s">
        <v>816</v>
      </c>
      <c r="C185" s="211"/>
      <c r="D185" s="16"/>
      <c r="E185" s="17"/>
      <c r="F185" s="17"/>
      <c r="G185" s="17"/>
      <c r="H185" s="17"/>
      <c r="I185" s="17"/>
      <c r="J185" s="17" t="s">
        <v>814</v>
      </c>
      <c r="K185" s="17" t="s">
        <v>814</v>
      </c>
      <c r="L185" s="17" t="s">
        <v>814</v>
      </c>
      <c r="M185" s="17" t="s">
        <v>814</v>
      </c>
      <c r="N185" s="17" t="s">
        <v>814</v>
      </c>
      <c r="O185" s="17" t="s">
        <v>814</v>
      </c>
      <c r="P185" s="24"/>
      <c r="Q185" s="24"/>
      <c r="R185" s="24"/>
      <c r="S185" s="24"/>
      <c r="T185" s="17"/>
      <c r="U185" s="17"/>
      <c r="V185" s="17"/>
      <c r="W185" s="17"/>
    </row>
    <row r="186" spans="1:23" s="148" customFormat="1">
      <c r="A186" s="13">
        <v>185</v>
      </c>
      <c r="B186" s="181" t="s">
        <v>930</v>
      </c>
      <c r="C186" s="180" t="s">
        <v>215</v>
      </c>
      <c r="D186" s="16"/>
      <c r="E186" s="17"/>
      <c r="F186" s="17"/>
      <c r="G186" s="17"/>
      <c r="H186" s="17"/>
      <c r="I186" s="17"/>
      <c r="J186" s="17" t="s">
        <v>814</v>
      </c>
      <c r="K186" s="17" t="s">
        <v>814</v>
      </c>
      <c r="L186" s="17" t="s">
        <v>814</v>
      </c>
      <c r="M186" s="17" t="s">
        <v>814</v>
      </c>
      <c r="N186" s="17" t="s">
        <v>814</v>
      </c>
      <c r="O186" s="17" t="s">
        <v>814</v>
      </c>
      <c r="P186" s="24"/>
      <c r="Q186" s="24"/>
      <c r="R186" s="24"/>
      <c r="S186" s="24"/>
      <c r="T186" s="17"/>
      <c r="U186" s="17"/>
      <c r="V186" s="17"/>
      <c r="W186" s="17"/>
    </row>
    <row r="187" spans="1:23" s="148" customFormat="1">
      <c r="A187" s="13">
        <v>186</v>
      </c>
      <c r="B187" s="181" t="s">
        <v>932</v>
      </c>
      <c r="C187" s="180" t="s">
        <v>215</v>
      </c>
      <c r="D187" s="16"/>
      <c r="E187" s="17"/>
      <c r="F187" s="17"/>
      <c r="G187" s="17"/>
      <c r="H187" s="17"/>
      <c r="I187" s="17"/>
      <c r="J187" s="17" t="s">
        <v>814</v>
      </c>
      <c r="K187" s="17" t="s">
        <v>814</v>
      </c>
      <c r="L187" s="17" t="s">
        <v>814</v>
      </c>
      <c r="M187" s="17" t="s">
        <v>814</v>
      </c>
      <c r="N187" s="17" t="s">
        <v>814</v>
      </c>
      <c r="O187" s="17" t="s">
        <v>814</v>
      </c>
      <c r="P187" s="24"/>
      <c r="Q187" s="24"/>
      <c r="R187" s="24"/>
      <c r="S187" s="24"/>
      <c r="T187" s="17"/>
      <c r="U187" s="17"/>
      <c r="V187" s="17"/>
      <c r="W187" s="17"/>
    </row>
    <row r="188" spans="1:23" s="148" customFormat="1">
      <c r="A188" s="13">
        <v>187</v>
      </c>
      <c r="B188" s="181" t="s">
        <v>934</v>
      </c>
      <c r="C188" s="180" t="s">
        <v>215</v>
      </c>
      <c r="D188" s="16"/>
      <c r="E188" s="17"/>
      <c r="F188" s="17"/>
      <c r="G188" s="17"/>
      <c r="H188" s="17"/>
      <c r="I188" s="17"/>
      <c r="J188" s="17" t="s">
        <v>814</v>
      </c>
      <c r="K188" s="17" t="s">
        <v>814</v>
      </c>
      <c r="L188" s="17" t="s">
        <v>814</v>
      </c>
      <c r="M188" s="17" t="s">
        <v>814</v>
      </c>
      <c r="N188" s="17" t="s">
        <v>814</v>
      </c>
      <c r="O188" s="17" t="s">
        <v>814</v>
      </c>
      <c r="P188" s="24"/>
      <c r="Q188" s="24"/>
      <c r="R188" s="24"/>
      <c r="S188" s="24"/>
      <c r="T188" s="17"/>
      <c r="U188" s="17"/>
      <c r="V188" s="17"/>
      <c r="W188" s="17"/>
    </row>
    <row r="189" spans="1:23" s="148" customFormat="1">
      <c r="A189" s="13">
        <v>188</v>
      </c>
      <c r="B189" s="181" t="s">
        <v>816</v>
      </c>
      <c r="C189" s="211"/>
      <c r="D189" s="16"/>
      <c r="E189" s="17"/>
      <c r="F189" s="17"/>
      <c r="G189" s="17"/>
      <c r="H189" s="17"/>
      <c r="I189" s="17"/>
      <c r="J189" s="17" t="s">
        <v>814</v>
      </c>
      <c r="K189" s="17" t="s">
        <v>814</v>
      </c>
      <c r="L189" s="17" t="s">
        <v>814</v>
      </c>
      <c r="M189" s="17" t="s">
        <v>814</v>
      </c>
      <c r="N189" s="17" t="s">
        <v>814</v>
      </c>
      <c r="O189" s="17" t="s">
        <v>814</v>
      </c>
      <c r="P189" s="24"/>
      <c r="Q189" s="24"/>
      <c r="R189" s="24"/>
      <c r="S189" s="24"/>
      <c r="T189" s="17"/>
      <c r="U189" s="17"/>
      <c r="V189" s="17"/>
      <c r="W189" s="17"/>
    </row>
    <row r="190" spans="1:23" s="148" customFormat="1">
      <c r="A190" s="13">
        <v>189</v>
      </c>
      <c r="B190" s="181" t="s">
        <v>816</v>
      </c>
      <c r="C190" s="211"/>
      <c r="D190" s="16"/>
      <c r="E190" s="17"/>
      <c r="F190" s="17"/>
      <c r="G190" s="17"/>
      <c r="H190" s="17"/>
      <c r="I190" s="17"/>
      <c r="J190" s="17" t="s">
        <v>814</v>
      </c>
      <c r="K190" s="17" t="s">
        <v>814</v>
      </c>
      <c r="L190" s="17" t="s">
        <v>814</v>
      </c>
      <c r="M190" s="17" t="s">
        <v>814</v>
      </c>
      <c r="N190" s="17" t="s">
        <v>814</v>
      </c>
      <c r="O190" s="17" t="s">
        <v>814</v>
      </c>
      <c r="P190" s="24"/>
      <c r="Q190" s="24"/>
      <c r="R190" s="24"/>
      <c r="S190" s="24"/>
      <c r="T190" s="17"/>
      <c r="U190" s="17"/>
      <c r="V190" s="17"/>
      <c r="W190" s="17"/>
    </row>
    <row r="191" spans="1:23" s="148" customFormat="1">
      <c r="A191" s="13">
        <v>190</v>
      </c>
      <c r="B191" s="181" t="s">
        <v>936</v>
      </c>
      <c r="C191" s="180" t="s">
        <v>215</v>
      </c>
      <c r="D191" s="16"/>
      <c r="E191" s="17"/>
      <c r="F191" s="17"/>
      <c r="G191" s="17"/>
      <c r="H191" s="17"/>
      <c r="I191" s="17"/>
      <c r="J191" s="17" t="s">
        <v>814</v>
      </c>
      <c r="K191" s="17" t="s">
        <v>814</v>
      </c>
      <c r="L191" s="17" t="s">
        <v>814</v>
      </c>
      <c r="M191" s="17" t="s">
        <v>814</v>
      </c>
      <c r="N191" s="17" t="s">
        <v>814</v>
      </c>
      <c r="O191" s="17" t="s">
        <v>814</v>
      </c>
      <c r="P191" s="24"/>
      <c r="Q191" s="24"/>
      <c r="R191" s="24"/>
      <c r="S191" s="24"/>
      <c r="T191" s="17"/>
      <c r="U191" s="17"/>
      <c r="V191" s="17"/>
      <c r="W191" s="17"/>
    </row>
    <row r="192" spans="1:23" s="148" customFormat="1">
      <c r="A192" s="13">
        <v>191</v>
      </c>
      <c r="B192" s="181" t="s">
        <v>816</v>
      </c>
      <c r="C192" s="211"/>
      <c r="D192" s="16"/>
      <c r="E192" s="17"/>
      <c r="F192" s="17"/>
      <c r="G192" s="17"/>
      <c r="H192" s="17"/>
      <c r="I192" s="17"/>
      <c r="J192" s="17" t="s">
        <v>814</v>
      </c>
      <c r="K192" s="17" t="s">
        <v>814</v>
      </c>
      <c r="L192" s="17" t="s">
        <v>814</v>
      </c>
      <c r="M192" s="17" t="s">
        <v>814</v>
      </c>
      <c r="N192" s="17" t="s">
        <v>814</v>
      </c>
      <c r="O192" s="17" t="s">
        <v>814</v>
      </c>
      <c r="P192" s="24"/>
      <c r="Q192" s="24"/>
      <c r="R192" s="24"/>
      <c r="S192" s="24"/>
      <c r="T192" s="17"/>
      <c r="U192" s="17"/>
      <c r="V192" s="17"/>
      <c r="W192" s="17"/>
    </row>
    <row r="193" spans="1:23" s="148" customFormat="1">
      <c r="A193" s="13">
        <v>192</v>
      </c>
      <c r="B193" s="181" t="s">
        <v>938</v>
      </c>
      <c r="C193" s="22" t="s">
        <v>250</v>
      </c>
      <c r="D193" s="16"/>
      <c r="E193" s="17"/>
      <c r="F193" s="17"/>
      <c r="G193" s="17"/>
      <c r="H193" s="17"/>
      <c r="I193" s="17"/>
      <c r="J193" s="17" t="s">
        <v>814</v>
      </c>
      <c r="K193" s="17" t="s">
        <v>814</v>
      </c>
      <c r="L193" s="17" t="s">
        <v>814</v>
      </c>
      <c r="M193" s="17" t="s">
        <v>814</v>
      </c>
      <c r="N193" s="17" t="s">
        <v>814</v>
      </c>
      <c r="O193" s="17" t="s">
        <v>814</v>
      </c>
      <c r="P193" s="24"/>
      <c r="Q193" s="24"/>
      <c r="R193" s="24"/>
      <c r="S193" s="24"/>
      <c r="T193" s="17"/>
      <c r="U193" s="17"/>
      <c r="V193" s="17"/>
      <c r="W193" s="17"/>
    </row>
    <row r="194" spans="1:23" s="148" customFormat="1">
      <c r="A194" s="13">
        <v>193</v>
      </c>
      <c r="B194" s="181" t="s">
        <v>816</v>
      </c>
      <c r="C194" s="211"/>
      <c r="D194" s="16"/>
      <c r="E194" s="17"/>
      <c r="F194" s="17"/>
      <c r="G194" s="17"/>
      <c r="H194" s="17"/>
      <c r="I194" s="17"/>
      <c r="J194" s="17" t="s">
        <v>814</v>
      </c>
      <c r="K194" s="17" t="s">
        <v>814</v>
      </c>
      <c r="L194" s="17" t="s">
        <v>814</v>
      </c>
      <c r="M194" s="17" t="s">
        <v>814</v>
      </c>
      <c r="N194" s="17" t="s">
        <v>814</v>
      </c>
      <c r="O194" s="17" t="s">
        <v>814</v>
      </c>
      <c r="P194" s="24"/>
      <c r="Q194" s="24"/>
      <c r="R194" s="24"/>
      <c r="S194" s="24"/>
      <c r="T194" s="17"/>
      <c r="U194" s="17"/>
      <c r="V194" s="17"/>
      <c r="W194" s="17"/>
    </row>
    <row r="195" spans="1:23" s="148" customFormat="1">
      <c r="A195" s="13">
        <v>194</v>
      </c>
      <c r="B195" s="181" t="s">
        <v>816</v>
      </c>
      <c r="C195" s="211"/>
      <c r="D195" s="16"/>
      <c r="E195" s="17"/>
      <c r="F195" s="17"/>
      <c r="G195" s="17"/>
      <c r="H195" s="17"/>
      <c r="I195" s="17"/>
      <c r="J195" s="17" t="s">
        <v>814</v>
      </c>
      <c r="K195" s="17" t="s">
        <v>814</v>
      </c>
      <c r="L195" s="17" t="s">
        <v>814</v>
      </c>
      <c r="M195" s="17" t="s">
        <v>814</v>
      </c>
      <c r="N195" s="17" t="s">
        <v>814</v>
      </c>
      <c r="O195" s="17" t="s">
        <v>814</v>
      </c>
      <c r="P195" s="24"/>
      <c r="Q195" s="24"/>
      <c r="R195" s="24"/>
      <c r="S195" s="24"/>
      <c r="T195" s="17"/>
      <c r="U195" s="17"/>
      <c r="V195" s="17"/>
      <c r="W195" s="17"/>
    </row>
    <row r="196" spans="1:23" s="148" customFormat="1">
      <c r="A196" s="13">
        <v>195</v>
      </c>
      <c r="B196" s="181" t="s">
        <v>816</v>
      </c>
      <c r="C196" s="211"/>
      <c r="D196" s="16"/>
      <c r="E196" s="17"/>
      <c r="F196" s="17"/>
      <c r="G196" s="17"/>
      <c r="H196" s="17"/>
      <c r="I196" s="17"/>
      <c r="J196" s="17" t="s">
        <v>814</v>
      </c>
      <c r="K196" s="17" t="s">
        <v>814</v>
      </c>
      <c r="L196" s="17" t="s">
        <v>814</v>
      </c>
      <c r="M196" s="17" t="s">
        <v>814</v>
      </c>
      <c r="N196" s="17" t="s">
        <v>814</v>
      </c>
      <c r="O196" s="17" t="s">
        <v>814</v>
      </c>
      <c r="P196" s="24"/>
      <c r="Q196" s="24"/>
      <c r="R196" s="24"/>
      <c r="S196" s="24"/>
      <c r="T196" s="17"/>
      <c r="U196" s="17"/>
      <c r="V196" s="17"/>
      <c r="W196" s="17"/>
    </row>
    <row r="197" spans="1:23" s="148" customFormat="1">
      <c r="A197" s="13">
        <v>196</v>
      </c>
      <c r="B197" s="181" t="s">
        <v>816</v>
      </c>
      <c r="C197" s="211"/>
      <c r="D197" s="16"/>
      <c r="E197" s="17"/>
      <c r="F197" s="17"/>
      <c r="G197" s="17"/>
      <c r="H197" s="17"/>
      <c r="I197" s="17"/>
      <c r="J197" s="17" t="s">
        <v>814</v>
      </c>
      <c r="K197" s="17" t="s">
        <v>814</v>
      </c>
      <c r="L197" s="17" t="s">
        <v>814</v>
      </c>
      <c r="M197" s="17" t="s">
        <v>814</v>
      </c>
      <c r="N197" s="17" t="s">
        <v>814</v>
      </c>
      <c r="O197" s="17" t="s">
        <v>814</v>
      </c>
      <c r="P197" s="24"/>
      <c r="Q197" s="24"/>
      <c r="R197" s="24"/>
      <c r="S197" s="24"/>
      <c r="T197" s="17"/>
      <c r="U197" s="17"/>
      <c r="V197" s="17"/>
      <c r="W197" s="17"/>
    </row>
    <row r="198" spans="1:23" s="148" customFormat="1">
      <c r="A198" s="13">
        <v>197</v>
      </c>
      <c r="B198" s="181" t="s">
        <v>940</v>
      </c>
      <c r="C198" s="180" t="s">
        <v>215</v>
      </c>
      <c r="D198" s="16"/>
      <c r="E198" s="17"/>
      <c r="F198" s="17"/>
      <c r="G198" s="17"/>
      <c r="H198" s="17"/>
      <c r="I198" s="17"/>
      <c r="J198" s="17" t="s">
        <v>814</v>
      </c>
      <c r="K198" s="17" t="s">
        <v>814</v>
      </c>
      <c r="L198" s="17" t="s">
        <v>814</v>
      </c>
      <c r="M198" s="17" t="s">
        <v>814</v>
      </c>
      <c r="N198" s="17" t="s">
        <v>814</v>
      </c>
      <c r="O198" s="17" t="s">
        <v>814</v>
      </c>
      <c r="P198" s="24"/>
      <c r="Q198" s="24"/>
      <c r="R198" s="24"/>
      <c r="S198" s="24"/>
      <c r="T198" s="17"/>
      <c r="U198" s="17"/>
      <c r="V198" s="17"/>
      <c r="W198" s="17"/>
    </row>
  </sheetData>
  <autoFilter ref="A3:W198"/>
  <phoneticPr fontId="3"/>
  <hyperlinks>
    <hyperlink ref="B4" r:id="rId1" tooltip="モンスター/スライム (13d)" display="http://mp.swiki.jp/index.php?%E3%83%A2%E3%83%B3%E3%82%B9%E3%82%BF%E3%83%BC%2F%E3%82%B9%E3%83%A9%E3%82%A4%E3%83%A0"/>
    <hyperlink ref="B5" r:id="rId2" tooltip="モンスター/バブルスライム (4d)" display="http://mp.swiki.jp/index.php?%E3%83%A2%E3%83%B3%E3%82%B9%E3%82%BF%E3%83%BC%2F%E3%83%90%E3%83%96%E3%83%AB%E3%82%B9%E3%83%A9%E3%82%A4%E3%83%A0"/>
    <hyperlink ref="B6" r:id="rId3" tooltip="モンスター/ホイミスライム (1d)" display="http://mp.swiki.jp/index.php?%E3%83%A2%E3%83%B3%E3%82%B9%E3%82%BF%E3%83%BC%2F%E3%83%9B%E3%82%A4%E3%83%9F%E3%82%B9%E3%83%A9%E3%82%A4%E3%83%A0"/>
    <hyperlink ref="B7" r:id="rId4" tooltip="モンスター/スライムつむり (16d)" display="http://mp.swiki.jp/index.php?%E3%83%A2%E3%83%B3%E3%82%B9%E3%82%BF%E3%83%BC%2F%E3%82%B9%E3%83%A9%E3%82%A4%E3%83%A0%E3%81%A4%E3%82%80%E3%82%8A"/>
    <hyperlink ref="B8" r:id="rId5" tooltip="モンスター/しびれくらげ (4d)" display="http://mp.swiki.jp/index.php?%E3%83%A2%E3%83%B3%E3%82%B9%E3%82%BF%E3%83%BC%2F%E3%81%97%E3%81%B3%E3%82%8C%E3%81%8F%E3%82%89%E3%81%92"/>
    <hyperlink ref="B9" r:id="rId6" tooltip="モンスター/スライムベス (1d)" display="http://mp.swiki.jp/index.php?%E3%83%A2%E3%83%B3%E3%82%B9%E3%82%BF%E3%83%BC%2F%E3%82%B9%E3%83%A9%E3%82%A4%E3%83%A0%E3%83%99%E3%82%B9"/>
    <hyperlink ref="B10" r:id="rId7" tooltip="モンスター/スライムナイト (11d)" display="http://mp.swiki.jp/index.php?%E3%83%A2%E3%83%B3%E3%82%B9%E3%82%BF%E3%83%BC%2F%E3%82%B9%E3%83%A9%E3%82%A4%E3%83%A0%E3%83%8A%E3%82%A4%E3%83%88"/>
    <hyperlink ref="B11" r:id="rId8" tooltip="モンスター/しましまキャット (13h)" display="http://mp.swiki.jp/index.php?%E3%83%A2%E3%83%B3%E3%82%B9%E3%82%BF%E3%83%BC%2F%E3%81%97%E3%81%BE%E3%81%97%E3%81%BE%E3%82%AD%E3%83%A3%E3%83%83%E3%83%88"/>
    <hyperlink ref="B12" r:id="rId9" tooltip="モンスター/ガップリン (4d)" display="http://mp.swiki.jp/index.php?%E3%83%A2%E3%83%B3%E3%82%B9%E3%82%BF%E3%83%BC%2F%E3%82%AC%E3%83%83%E3%83%97%E3%83%AA%E3%83%B3"/>
    <hyperlink ref="B13" r:id="rId10" tooltip="モンスター/ズッキーニャ (4d)" display="http://mp.swiki.jp/index.php?%E3%83%A2%E3%83%B3%E3%82%B9%E3%82%BF%E3%83%BC%2F%E3%82%BA%E3%83%83%E3%82%AD%E3%83%BC%E3%83%8B%E3%83%A3"/>
    <hyperlink ref="B14" r:id="rId11" tooltip="モンスター/いっかくうさぎ (18d)" display="http://mp.swiki.jp/index.php?%E3%83%A2%E3%83%B3%E3%82%B9%E3%82%BF%E3%83%BC%2F%E3%81%84%E3%81%A3%E3%81%8B%E3%81%8F%E3%81%86%E3%81%95%E3%81%8E"/>
    <hyperlink ref="B15" r:id="rId12" tooltip="モンスター/ベビーパンサー (1d)" display="http://mp.swiki.jp/index.php?%E3%83%A2%E3%83%B3%E3%82%B9%E3%82%BF%E3%83%BC%2F%E3%83%99%E3%83%93%E3%83%BC%E3%83%91%E3%83%B3%E3%82%B5%E3%83%BC"/>
    <hyperlink ref="B16" r:id="rId13" tooltip="モンスター/プリズニャン (19d)" display="http://mp.swiki.jp/index.php?%E3%83%A2%E3%83%B3%E3%82%B9%E3%82%BF%E3%83%BC%2F%E3%83%97%E3%83%AA%E3%82%BA%E3%83%8B%E3%83%A3%E3%83%B3"/>
    <hyperlink ref="B17" r:id="rId14" tooltip="モンスター/ももんじゃ (5d)" display="http://mp.swiki.jp/index.php?%E3%83%A2%E3%83%B3%E3%82%B9%E3%82%BF%E3%83%BC%2F%E3%82%82%E3%82%82%E3%82%93%E3%81%98%E3%82%83"/>
    <hyperlink ref="B18" r:id="rId15" tooltip="モンスター/リリパット (12d)" display="http://mp.swiki.jp/index.php?%E3%83%A2%E3%83%B3%E3%82%B9%E3%82%BF%E3%83%BC%2F%E3%83%AA%E3%83%AA%E3%83%91%E3%83%83%E3%83%88"/>
    <hyperlink ref="B19" r:id="rId16" tooltip="モンスター/ねこまどう (11d)" display="http://mp.swiki.jp/index.php?%E3%83%A2%E3%83%B3%E3%82%B9%E3%82%BF%E3%83%BC%2F%E3%81%AD%E3%81%93%E3%81%BE%E3%81%A9%E3%81%86"/>
    <hyperlink ref="B20" r:id="rId17" tooltip="モンスター/おおきづち (3d)" display="http://mp.swiki.jp/index.php?%E3%83%A2%E3%83%B3%E3%82%B9%E3%82%BF%E3%83%BC%2F%E3%81%8A%E3%81%8A%E3%81%8D%E3%81%A5%E3%81%A1"/>
    <hyperlink ref="B21" r:id="rId18" tooltip="モンスター/モーモン (2d)" display="http://mp.swiki.jp/index.php?%E3%83%A2%E3%83%B3%E3%82%B9%E3%82%BF%E3%83%BC%2F%E3%83%A2%E3%83%BC%E3%83%A2%E3%83%B3"/>
    <hyperlink ref="B22" r:id="rId19" tooltip="モンスター/ファーラット (1d)" display="http://mp.swiki.jp/index.php?%E3%83%A2%E3%83%B3%E3%82%B9%E3%82%BF%E3%83%BC%2F%E3%83%95%E3%82%A1%E3%83%BC%E3%83%A9%E3%83%83%E3%83%88"/>
    <hyperlink ref="B23" r:id="rId20" tooltip="モンスター/いたずらもぐら (3d)" display="http://mp.swiki.jp/index.php?%E3%83%A2%E3%83%B3%E3%82%B9%E3%82%BF%E3%83%BC%2F%E3%81%84%E3%81%9F%E3%81%9A%E3%82%89%E3%82%82%E3%81%90%E3%82%89"/>
    <hyperlink ref="B24" r:id="rId21" tooltip="モンスター/わらいぶくろ (20d)" display="http://mp.swiki.jp/index.php?%E3%83%A2%E3%83%B3%E3%82%B9%E3%82%BF%E3%83%BC%2F%E3%82%8F%E3%82%89%E3%81%84%E3%81%B6%E3%81%8F%E3%82%8D"/>
    <hyperlink ref="B25" r:id="rId22" tooltip="モンスター/スマイルロック (11d)" display="http://mp.swiki.jp/index.php?%E3%83%A2%E3%83%B3%E3%82%B9%E3%82%BF%E3%83%BC%2F%E3%82%B9%E3%83%9E%E3%82%A4%E3%83%AB%E3%83%AD%E3%83%83%E3%82%AF"/>
    <hyperlink ref="B26" r:id="rId23" tooltip="モンスター/おにこぞう (2d)" display="http://mp.swiki.jp/index.php?%E3%83%A2%E3%83%B3%E3%82%B9%E3%82%BF%E3%83%BC%2F%E3%81%8A%E3%81%AB%E3%81%93%E3%81%9E%E3%81%86"/>
    <hyperlink ref="B27" r:id="rId24" tooltip="モンスター/ドラキー (12d)" display="http://mp.swiki.jp/index.php?%E3%83%A2%E3%83%B3%E3%82%B9%E3%82%BF%E3%83%BC%2F%E3%83%89%E3%83%A9%E3%82%AD%E3%83%BC"/>
    <hyperlink ref="B28" r:id="rId25" tooltip="モンスター/ベビーサタン (2d)" display="http://mp.swiki.jp/index.php?%E3%83%A2%E3%83%B3%E3%82%B9%E3%82%BF%E3%83%BC%2F%E3%83%99%E3%83%93%E3%83%BC%E3%82%B5%E3%82%BF%E3%83%B3"/>
    <hyperlink ref="B29" r:id="rId26" tooltip="モンスター/ドルイド (16d)" display="http://mp.swiki.jp/index.php?%E3%83%A2%E3%83%B3%E3%82%B9%E3%82%BF%E3%83%BC%2F%E3%83%89%E3%83%AB%E3%82%A4%E3%83%89"/>
    <hyperlink ref="B30" r:id="rId27" tooltip="モンスター/おおめだま (16d)" display="http://mp.swiki.jp/index.php?%E3%83%A2%E3%83%B3%E3%82%B9%E3%82%BF%E3%83%BC%2F%E3%81%8A%E3%81%8A%E3%82%81%E3%81%A0%E3%81%BE"/>
    <hyperlink ref="B31" r:id="rId28" tooltip="モンスター/きとうし (19d)" display="http://mp.swiki.jp/index.php?%E3%83%A2%E3%83%B3%E3%82%B9%E3%82%BF%E3%83%BC%2F%E3%81%8D%E3%81%A8%E3%81%86%E3%81%97"/>
    <hyperlink ref="B32" r:id="rId29" tooltip="モンスター/メラゴースト (5d)" display="http://mp.swiki.jp/index.php?%E3%83%A2%E3%83%B3%E3%82%B9%E3%82%BF%E3%83%BC%2F%E3%83%A1%E3%83%A9%E3%82%B4%E3%83%BC%E3%82%B9%E3%83%88"/>
    <hyperlink ref="B33" r:id="rId30" tooltip="モンスター/おばけきのこ (1d)" display="http://mp.swiki.jp/index.php?%E3%83%A2%E3%83%B3%E3%82%B9%E3%82%BF%E3%83%BC%2F%E3%81%8A%E3%81%B0%E3%81%91%E3%81%8D%E3%81%AE%E3%81%93"/>
    <hyperlink ref="B34" r:id="rId31" tooltip="モンスター/ゴースト (4d)" display="http://mp.swiki.jp/index.php?%E3%83%A2%E3%83%B3%E3%82%B9%E3%82%BF%E3%83%BC%2F%E3%82%B4%E3%83%BC%E3%82%B9%E3%83%88"/>
    <hyperlink ref="B35" r:id="rId32" tooltip="モンスター/つちわらし (5d)" display="http://mp.swiki.jp/index.php?%E3%83%A2%E3%83%B3%E3%82%B9%E3%82%BF%E3%83%BC%2F%E3%81%A4%E3%81%A1%E3%82%8F%E3%82%89%E3%81%97"/>
    <hyperlink ref="B36" r:id="rId33" tooltip="モンスター/おばけキャンドル (13d)" display="http://mp.swiki.jp/index.php?%E3%83%A2%E3%83%B3%E3%82%B9%E3%82%BF%E3%83%BC%2F%E3%81%8A%E3%81%B0%E3%81%91%E3%82%AD%E3%83%A3%E3%83%B3%E3%83%89%E3%83%AB"/>
    <hyperlink ref="B37" r:id="rId34" tooltip="モンスター/マタンゴ (13d)" display="http://mp.swiki.jp/index.php?%E3%83%A2%E3%83%B3%E3%82%B9%E3%82%BF%E3%83%BC%2F%E3%83%9E%E3%82%BF%E3%83%B3%E3%82%B4"/>
    <hyperlink ref="B38" r:id="rId35" tooltip="モンスター/さまようよろい (16h)" display="http://mp.swiki.jp/index.php?%E3%83%A2%E3%83%B3%E3%82%B9%E3%82%BF%E3%83%BC%2F%E3%81%95%E3%81%BE%E3%82%88%E3%81%86%E3%82%88%E3%82%8D%E3%81%84"/>
    <hyperlink ref="B39" r:id="rId36" tooltip="モンスター/大おばけきのこ (3d)" display="http://mp.swiki.jp/index.php?%E3%83%A2%E3%83%B3%E3%82%B9%E3%82%BF%E3%83%BC%2F%E5%A4%A7%E3%81%8A%E3%81%B0%E3%81%91%E3%81%8D%E3%81%AE%E3%81%93"/>
    <hyperlink ref="B40" r:id="rId37" tooltip="モンスター/スライムタワー (6d)" display="http://mp.swiki.jp/index.php?%E3%83%A2%E3%83%B3%E3%82%B9%E3%82%BF%E3%83%BC%2F%E3%82%B9%E3%83%A9%E3%82%A4%E3%83%A0%E3%82%BF%E3%83%AF%E3%83%BC"/>
    <hyperlink ref="B41" r:id="rId38" tooltip="モンスター/ベホイミスライム (7d)" display="http://mp.swiki.jp/index.php?%E3%83%A2%E3%83%B3%E3%82%B9%E3%82%BF%E3%83%BC%2F%E3%83%99%E3%83%9B%E3%82%A4%E3%83%9F%E3%82%B9%E3%83%A9%E3%82%A4%E3%83%A0"/>
    <hyperlink ref="B42" r:id="rId39" tooltip="モンスター/キングスライム (34d)" display="http://mp.swiki.jp/index.php?%E3%83%A2%E3%83%B3%E3%82%B9%E3%82%BF%E3%83%BC%2F%E3%82%AD%E3%83%B3%E3%82%B0%E3%82%B9%E3%83%A9%E3%82%A4%E3%83%A0"/>
    <hyperlink ref="B43" r:id="rId40" tooltip="モンスター/メタルスライム (2d)" display="http://mp.swiki.jp/index.php?%E3%83%A2%E3%83%B3%E3%82%B9%E3%82%BF%E3%83%BC%2F%E3%83%A1%E3%82%BF%E3%83%AB%E3%82%B9%E3%83%A9%E3%82%A4%E3%83%A0"/>
    <hyperlink ref="B44" r:id="rId41" tooltip="モンスター/ドラゴンキッズ (22d)" display="http://mp.swiki.jp/index.php?%E3%83%A2%E3%83%B3%E3%82%B9%E3%82%BF%E3%83%BC%2F%E3%83%89%E3%83%A9%E3%82%B4%E3%83%B3%E3%82%AD%E3%83%83%E3%82%BA"/>
    <hyperlink ref="B45" r:id="rId42" tooltip="モンスター/サボテンボール (12h)" display="http://mp.swiki.jp/index.php?%E3%83%A2%E3%83%B3%E3%82%B9%E3%82%BF%E3%83%BC%2F%E3%82%B5%E3%83%9C%E3%83%86%E3%83%B3%E3%83%9C%E3%83%BC%E3%83%AB"/>
    <hyperlink ref="B46" r:id="rId43" tooltip="モンスター/ぶっちズキーニャ (16d)" display="http://mp.swiki.jp/index.php?%E3%83%A2%E3%83%B3%E3%82%B9%E3%82%BF%E3%83%BC%2F%E3%81%B6%E3%81%A3%E3%81%A1%E3%82%BA%E3%82%AD%E3%83%BC%E3%83%8B%E3%83%A3"/>
    <hyperlink ref="B47" r:id="rId44" tooltip="モンスター/キメラ (11d)" display="http://mp.swiki.jp/index.php?%E3%83%A2%E3%83%B3%E3%82%B9%E3%82%BF%E3%83%BC%2F%E3%82%AD%E3%83%A1%E3%83%A9"/>
    <hyperlink ref="B48" r:id="rId45" tooltip="モンスター/メイジももんじゃ (27d)" display="http://mp.swiki.jp/index.php?%E3%83%A2%E3%83%B3%E3%82%B9%E3%82%BF%E3%83%BC%2F%E3%83%A1%E3%82%A4%E3%82%B8%E3%82%82%E3%82%82%E3%82%93%E3%81%98%E3%82%83"/>
    <hyperlink ref="B49" r:id="rId46" tooltip="モンスター/アローインプ (12d)" display="http://mp.swiki.jp/index.php?%E3%83%A2%E3%83%B3%E3%82%B9%E3%82%BF%E3%83%BC%2F%E3%82%A2%E3%83%AD%E3%83%BC%E3%82%A4%E3%83%B3%E3%83%97"/>
    <hyperlink ref="B50" r:id="rId47" tooltip="モンスター/ブラウニー (5d)" display="http://mp.swiki.jp/index.php?%E3%83%A2%E3%83%B3%E3%82%B9%E3%82%BF%E3%83%BC%2F%E3%83%96%E3%83%A9%E3%82%A6%E3%83%8B%E3%83%BC"/>
    <hyperlink ref="B51" r:id="rId48" tooltip="モンスター/キラースコップ (11d)" display="http://mp.swiki.jp/index.php?%E3%83%A2%E3%83%B3%E3%82%B9%E3%82%BF%E3%83%BC%2F%E3%82%AD%E3%83%A9%E3%83%BC%E3%82%B9%E3%82%B3%E3%83%83%E3%83%97"/>
    <hyperlink ref="B52" r:id="rId49" tooltip="モンスター/オーク (6d)" display="http://mp.swiki.jp/index.php?%E3%83%A2%E3%83%B3%E3%82%B9%E3%82%BF%E3%83%BC%2F%E3%82%AA%E3%83%BC%E3%82%AF"/>
    <hyperlink ref="B53" r:id="rId50" tooltip="モンスター/ベンガルクーン (11d)" display="http://mp.swiki.jp/index.php?%E3%83%A2%E3%83%B3%E3%82%B9%E3%82%BF%E3%83%BC%2F%E3%83%99%E3%83%B3%E3%82%AC%E3%83%AB%E3%82%AF%E3%83%BC%E3%83%B3"/>
    <hyperlink ref="B54" r:id="rId51" tooltip="モンスター/モコモコじゅう (3h)" display="http://mp.swiki.jp/index.php?%E3%83%A2%E3%83%B3%E3%82%B9%E3%82%BF%E3%83%BC%2F%E3%83%A2%E3%82%B3%E3%83%A2%E3%82%B3%E3%81%98%E3%82%85%E3%81%86"/>
    <hyperlink ref="B55" r:id="rId52" tooltip="モンスター/シールドこぞう (12d)" display="http://mp.swiki.jp/index.php?%E3%83%A2%E3%83%B3%E3%82%B9%E3%82%BF%E3%83%BC%2F%E3%82%B7%E3%83%BC%E3%83%AB%E3%83%89%E3%81%93%E3%81%9E%E3%81%86"/>
    <hyperlink ref="B56" r:id="rId53" tooltip="モンスター/げんじゅつし (7d)" display="http://mp.swiki.jp/index.php?%E3%83%A2%E3%83%B3%E3%82%B9%E3%82%BF%E3%83%BC%2F%E3%81%92%E3%82%93%E3%81%98%E3%82%85%E3%81%A4%E3%81%97"/>
    <hyperlink ref="B57" r:id="rId54" tooltip="モンスター/あやしいかげ (5d)" display="http://mp.swiki.jp/index.php?%E3%83%A2%E3%83%B3%E3%82%B9%E3%82%BF%E3%83%BC%2F%E3%81%82%E3%82%84%E3%81%97%E3%81%84%E3%81%8B%E3%81%92"/>
    <hyperlink ref="B58" r:id="rId55" tooltip="モンスター/ばくだんいわ (6d)" display="http://mp.swiki.jp/index.php?%E3%83%A2%E3%83%B3%E3%82%B9%E3%82%BF%E3%83%BC%2F%E3%81%B0%E3%81%8F%E3%81%A0%E3%82%93%E3%81%84%E3%82%8F"/>
    <hyperlink ref="B59" r:id="rId56" tooltip="モンスター/ひとくい箱 (4d)" display="http://mp.swiki.jp/index.php?%E3%83%A2%E3%83%B3%E3%82%B9%E3%82%BF%E3%83%BC%2F%E3%81%B2%E3%81%A8%E3%81%8F%E3%81%84%E7%AE%B1"/>
    <hyperlink ref="B60" r:id="rId57" tooltip="モンスター/メタルハンター (2d)" display="http://mp.swiki.jp/index.php?%E3%83%A2%E3%83%B3%E3%82%B9%E3%82%BF%E3%83%BC%2F%E3%83%A1%E3%82%BF%E3%83%AB%E3%83%8F%E3%83%B3%E3%82%BF%E3%83%BC"/>
    <hyperlink ref="B61" r:id="rId58" tooltip="モンスター/ゴーレム (1d)" display="http://mp.swiki.jp/index.php?%E3%83%A2%E3%83%B3%E3%82%B9%E3%82%BF%E3%83%BC%2F%E3%82%B4%E3%83%BC%E3%83%AC%E3%83%A0"/>
    <hyperlink ref="B62" r:id="rId59" tooltip="モンスター/リップス (16d)" display="http://mp.swiki.jp/index.php?%E3%83%A2%E3%83%B3%E3%82%B9%E3%82%BF%E3%83%BC%2F%E3%83%AA%E3%83%83%E3%83%97%E3%82%B9"/>
    <hyperlink ref="B63" r:id="rId60" tooltip="モンスター/びっくりサタン (16d)" display="http://mp.swiki.jp/index.php?%E3%83%A2%E3%83%B3%E3%82%B9%E3%82%BF%E3%83%BC%2F%E3%81%B3%E3%81%A3%E3%81%8F%E3%82%8A%E3%82%B5%E3%82%BF%E3%83%B3"/>
    <hyperlink ref="B64" r:id="rId61" tooltip="モンスター/ガーゴイル (5d)" display="http://mp.swiki.jp/index.php?%E3%83%A2%E3%83%B3%E3%82%B9%E3%82%BF%E3%83%BC%2F%E3%82%AC%E3%83%BC%E3%82%B4%E3%82%A4%E3%83%AB"/>
    <hyperlink ref="B65" r:id="rId62" tooltip="モンスター/ピクシー (4d)" display="http://mp.swiki.jp/index.php?%E3%83%A2%E3%83%B3%E3%82%B9%E3%82%BF%E3%83%BC%2F%E3%83%94%E3%82%AF%E3%82%B7%E3%83%BC"/>
    <hyperlink ref="B66" r:id="rId63" tooltip="モンスター/メイジドラキー (24d)" display="http://mp.swiki.jp/index.php?%E3%83%A2%E3%83%B3%E3%82%B9%E3%82%BF%E3%83%BC%2F%E3%83%A1%E3%82%A4%E3%82%B8%E3%83%89%E3%83%A9%E3%82%AD%E3%83%BC"/>
    <hyperlink ref="B67" r:id="rId64" tooltip="モンスター/つかいま (2d)" display="http://mp.swiki.jp/index.php?%E3%83%A2%E3%83%B3%E3%82%B9%E3%82%BF%E3%83%BC%2F%E3%81%A4%E3%81%8B%E3%81%84%E3%81%BE"/>
    <hyperlink ref="B68" r:id="rId65" tooltip="モンスター/デザートデーモン (11d)" display="http://mp.swiki.jp/index.php?%E3%83%A2%E3%83%B3%E3%82%B9%E3%82%BF%E3%83%BC%2F%E3%83%87%E3%82%B6%E3%83%BC%E3%83%88%E3%83%87%E3%83%BC%E3%83%A2%E3%83%B3"/>
    <hyperlink ref="B69" r:id="rId66" tooltip="モンスター/サイクロプス (7d)" display="http://mp.swiki.jp/index.php?%E3%83%A2%E3%83%B3%E3%82%B9%E3%82%BF%E3%83%BC%2F%E3%82%B5%E3%82%A4%E3%82%AF%E3%83%AD%E3%83%97%E3%82%B9"/>
    <hyperlink ref="B70" r:id="rId67" tooltip="モンスター/ようじゅつし (6d)" display="http://mp.swiki.jp/index.php?%E3%83%A2%E3%83%B3%E3%82%B9%E3%82%BF%E3%83%BC%2F%E3%82%88%E3%81%86%E3%81%98%E3%82%85%E3%81%A4%E3%81%97"/>
    <hyperlink ref="B71" r:id="rId68" tooltip="モンスター/マドハンド (4d)" display="http://mp.swiki.jp/index.php?%E3%83%A2%E3%83%B3%E3%82%B9%E3%82%BF%E3%83%BC%2F%E3%83%9E%E3%83%89%E3%83%8F%E3%83%B3%E3%83%89"/>
    <hyperlink ref="B72" r:id="rId69" tooltip="モンスター/くさった死体 (7d)" display="http://mp.swiki.jp/index.php?%E3%83%A2%E3%83%B3%E3%82%B9%E3%82%BF%E3%83%BC%2F%E3%81%8F%E3%81%95%E3%81%A3%E3%81%9F%E6%AD%BB%E4%BD%93"/>
    <hyperlink ref="B73" r:id="rId70" tooltip="モンスター/さまようたましい (5d)" display="http://mp.swiki.jp/index.php?%E3%83%A2%E3%83%B3%E3%82%B9%E3%82%BF%E3%83%BC%2F%E3%81%95%E3%81%BE%E3%82%88%E3%81%86%E3%81%9F%E3%81%BE%E3%81%97%E3%81%84"/>
    <hyperlink ref="B74" r:id="rId71" tooltip="モンスター/メトロゴースト (25d)" display="http://mp.swiki.jp/index.php?%E3%83%A2%E3%83%B3%E3%82%B9%E3%82%BF%E3%83%BC%2F%E3%83%A1%E3%83%88%E3%83%AD%E3%82%B4%E3%83%BC%E3%82%B9%E3%83%88"/>
    <hyperlink ref="B75" r:id="rId72" tooltip="モンスター/ともしびこぞう (19d)" display="http://mp.swiki.jp/index.php?%E3%83%A2%E3%83%B3%E3%82%B9%E3%82%BF%E3%83%BC%2F%E3%81%A8%E3%82%82%E3%81%97%E3%81%B3%E3%81%93%E3%81%9E%E3%81%86"/>
    <hyperlink ref="B76" r:id="rId73" tooltip="モンスター/ブラッドハンド (12d)" display="http://mp.swiki.jp/index.php?%E3%83%A2%E3%83%B3%E3%82%B9%E3%82%BF%E3%83%BC%2F%E3%83%96%E3%83%A9%E3%83%83%E3%83%89%E3%83%8F%E3%83%B3%E3%83%89"/>
    <hyperlink ref="B77" r:id="rId74" tooltip="モンスター/ボーンナイト (12d)" display="http://mp.swiki.jp/index.php?%E3%83%A2%E3%83%B3%E3%82%B9%E3%82%BF%E3%83%BC%2F%E3%83%9C%E3%83%BC%E3%83%B3%E3%83%8A%E3%82%A4%E3%83%88"/>
    <hyperlink ref="B78" r:id="rId75" tooltip="モンスター/キラーアーマー (4d)" display="http://mp.swiki.jp/index.php?%E3%83%A2%E3%83%B3%E3%82%B9%E3%82%BF%E3%83%BC%2F%E3%82%AD%E3%83%A9%E3%83%BC%E3%82%A2%E3%83%BC%E3%83%9E%E3%83%BC"/>
    <hyperlink ref="B79" r:id="rId76" tooltip="モンスター/マリンスライム (3d)" display="http://mp.swiki.jp/index.php?%E3%83%A2%E3%83%B3%E3%82%B9%E3%82%BF%E3%83%BC%2F%E3%83%9E%E3%83%AA%E3%83%B3%E3%82%B9%E3%83%A9%E3%82%A4%E3%83%A0"/>
    <hyperlink ref="B80" r:id="rId77" tooltip="モンスター/しびれスライム (4d)" display="http://mp.swiki.jp/index.php?%E3%83%A2%E3%83%B3%E3%82%B9%E3%82%BF%E3%83%BC%2F%E3%81%97%E3%81%B3%E3%82%8C%E3%82%B9%E3%83%A9%E3%82%A4%E3%83%A0"/>
    <hyperlink ref="B81" r:id="rId78" tooltip="モンスター/メタルライダー (12h)" display="http://mp.swiki.jp/index.php?%E3%83%A2%E3%83%B3%E3%82%B9%E3%82%BF%E3%83%BC%2F%E3%83%A1%E3%82%BF%E3%83%AB%E3%83%A9%E3%82%A4%E3%83%80%E3%83%BC"/>
    <hyperlink ref="B82" r:id="rId79" tooltip="モンスター/スライムベホマズン (2d)" display="http://mp.swiki.jp/index.php?%E3%83%A2%E3%83%B3%E3%82%B9%E3%82%BF%E3%83%BC%2F%E3%82%B9%E3%83%A9%E3%82%A4%E3%83%A0%E3%83%99%E3%83%9B%E3%83%9E%E3%82%BA%E3%83%B3"/>
    <hyperlink ref="B83" r:id="rId80" tooltip="モンスター/メタルブラザーズ (4d)" display="http://mp.swiki.jp/index.php?%E3%83%A2%E3%83%B3%E3%82%B9%E3%82%BF%E3%83%BC%2F%E3%83%A1%E3%82%BF%E3%83%AB%E3%83%96%E3%83%A9%E3%82%B6%E3%83%BC%E3%82%BA"/>
    <hyperlink ref="B84" r:id="rId81" tooltip="モンスター/ベビーニュート (1d)" display="http://mp.swiki.jp/index.php?%E3%83%A2%E3%83%B3%E3%82%B9%E3%82%BF%E3%83%BC%2F%E3%83%99%E3%83%93%E3%83%BC%E3%83%8B%E3%83%A5%E3%83%BC%E3%83%88"/>
    <hyperlink ref="B85" r:id="rId82" tooltip="モンスター/ドラゴン (6d)" display="http://mp.swiki.jp/index.php?%E3%83%A2%E3%83%B3%E3%82%B9%E3%82%BF%E3%83%BC%2F%E3%83%89%E3%83%A9%E3%82%B4%E3%83%B3"/>
    <hyperlink ref="B86" r:id="rId83" tooltip="モンスター/アルミラージ (4d)" display="http://mp.swiki.jp/index.php?%E3%83%A2%E3%83%B3%E3%82%B9%E3%82%BF%E3%83%BC%2F%E3%82%A2%E3%83%AB%E3%83%9F%E3%83%A9%E3%83%BC%E3%82%B8"/>
    <hyperlink ref="B87" r:id="rId84" tooltip="モンスター/ダンスニードル (5d)" display="http://mp.swiki.jp/index.php?%E3%83%A2%E3%83%B3%E3%82%B9%E3%82%BF%E3%83%BC%2F%E3%83%80%E3%83%B3%E3%82%B9%E3%83%8B%E3%83%BC%E3%83%89%E3%83%AB"/>
    <hyperlink ref="B88" r:id="rId85" tooltip="モンスター/ベロニャーゴ (4d)" display="http://mp.swiki.jp/index.php?%E3%83%A2%E3%83%B3%E3%82%B9%E3%82%BF%E3%83%BC%2F%E3%83%99%E3%83%AD%E3%83%8B%E3%83%A3%E3%83%BC%E3%82%B4"/>
    <hyperlink ref="B89" r:id="rId86" tooltip="モンスター/エビルアップル (5d)" display="http://mp.swiki.jp/index.php?%E3%83%A2%E3%83%B3%E3%82%B9%E3%82%BF%E3%83%BC%2F%E3%82%A8%E3%83%93%E3%83%AB%E3%82%A2%E3%83%83%E3%83%97%E3%83%AB"/>
    <hyperlink ref="B90" r:id="rId87" tooltip="モンスター/ブラックベジター (3d)" display="http://mp.swiki.jp/index.php?%E3%83%A2%E3%83%B3%E3%82%B9%E3%82%BF%E3%83%BC%2F%E3%83%96%E3%83%A9%E3%83%83%E3%82%AF%E3%83%99%E3%82%B8%E3%82%BF%E3%83%BC"/>
    <hyperlink ref="B91" r:id="rId88" tooltip="モンスター/メイジキメラ (4d)" display="http://mp.swiki.jp/index.php?%E3%83%A2%E3%83%B3%E3%82%B9%E3%82%BF%E3%83%BC%2F%E3%83%A1%E3%82%A4%E3%82%B8%E3%82%AD%E3%83%A1%E3%83%A9"/>
    <hyperlink ref="B92" r:id="rId89" tooltip="モンスター/ジャガーメイジ (19d)" display="http://mp.swiki.jp/index.php?%E3%83%A2%E3%83%B3%E3%82%B9%E3%82%BF%E3%83%BC%2F%E3%82%B8%E3%83%A3%E3%82%AC%E3%83%BC%E3%83%A1%E3%82%A4%E3%82%B8"/>
    <hyperlink ref="B93" r:id="rId90" tooltip="モンスター/ピンクモーモン (4d)" display="http://mp.swiki.jp/index.php?%E3%83%A2%E3%83%B3%E3%82%B9%E3%82%BF%E3%83%BC%2F%E3%83%94%E3%83%B3%E3%82%AF%E3%83%A2%E3%83%BC%E3%83%A2%E3%83%B3"/>
    <hyperlink ref="B94" r:id="rId91" tooltip="モンスター/どくやずきん (1d)" display="http://mp.swiki.jp/index.php?%E3%83%A2%E3%83%B3%E3%82%B9%E3%82%BF%E3%83%BC%2F%E3%81%A9%E3%81%8F%E3%82%84%E3%81%9A%E3%81%8D%E3%82%93"/>
    <hyperlink ref="B95" r:id="rId92" tooltip="モンスター/オークキング (45m)" display="http://mp.swiki.jp/index.php?%E3%83%A2%E3%83%B3%E3%82%B9%E3%82%BF%E3%83%BC%2F%E3%82%AA%E3%83%BC%E3%82%AF%E3%82%AD%E3%83%B3%E3%82%B0"/>
    <hyperlink ref="B96" r:id="rId93" tooltip="モンスター/ケダモン (4d)" display="http://mp.swiki.jp/index.php?%E3%83%A2%E3%83%B3%E3%82%B9%E3%82%BF%E3%83%BC%2F%E3%82%B1%E3%83%80%E3%83%A2%E3%83%B3"/>
    <hyperlink ref="B97" r:id="rId94" tooltip="モンスター/おどるほうせき (7d)" display="http://mp.swiki.jp/index.php?%E3%83%A2%E3%83%B3%E3%82%B9%E3%82%BF%E3%83%BC%2F%E3%81%8A%E3%81%A9%E3%82%8B%E3%81%BB%E3%81%86%E3%81%9B%E3%81%8D"/>
    <hyperlink ref="B98" r:id="rId95" tooltip="モンスター/ビッグフェイス (5h)" display="http://mp.swiki.jp/index.php?%E3%83%A2%E3%83%B3%E3%82%B9%E3%82%BF%E3%83%BC%2F%E3%83%93%E3%83%83%E3%82%B0%E3%83%95%E3%82%A7%E3%82%A4%E3%82%B9"/>
    <hyperlink ref="B99" r:id="rId96" tooltip="モンスター/ゴールドマン (4d)" display="http://mp.swiki.jp/index.php?%E3%83%A2%E3%83%B3%E3%82%B9%E3%82%BF%E3%83%BC%2F%E3%82%B4%E3%83%BC%E3%83%AB%E3%83%89%E3%83%9E%E3%83%B3"/>
    <hyperlink ref="B100" r:id="rId97" tooltip="モンスター/シャドー (5h)" display="http://mp.swiki.jp/index.php?%E3%83%A2%E3%83%B3%E3%82%B9%E3%82%BF%E3%83%BC%2F%E3%82%B7%E3%83%A3%E3%83%89%E3%83%BC"/>
    <hyperlink ref="B101" r:id="rId98" tooltip="モンスター/メガザルロック (16d)" display="http://mp.swiki.jp/index.php?%E3%83%A2%E3%83%B3%E3%82%B9%E3%82%BF%E3%83%BC%2F%E3%83%A1%E3%82%AC%E3%82%B6%E3%83%AB%E3%83%AD%E3%83%83%E3%82%AF"/>
    <hyperlink ref="B102" r:id="rId99" tooltip="モンスター/ミミック (4d)" display="http://mp.swiki.jp/index.php?%E3%83%A2%E3%83%B3%E3%82%B9%E3%82%BF%E3%83%BC%2F%E3%83%9F%E3%83%9F%E3%83%83%E3%82%AF"/>
    <hyperlink ref="B103" r:id="rId100" tooltip="モンスター/ブチュチュンパ (7d)" display="http://mp.swiki.jp/index.php?%E3%83%A2%E3%83%B3%E3%82%B9%E3%82%BF%E3%83%BC%2F%E3%83%96%E3%83%81%E3%83%A5%E3%83%81%E3%83%A5%E3%83%B3%E3%83%91"/>
    <hyperlink ref="B104" r:id="rId101" tooltip="モンスター/タホドラキー (7d)" display="http://mp.swiki.jp/index.php?%E3%83%A2%E3%83%B3%E3%82%B9%E3%82%BF%E3%83%BC%2F%E3%82%BF%E3%83%9B%E3%83%89%E3%83%A9%E3%82%AD%E3%83%BC"/>
    <hyperlink ref="B105" r:id="rId102" tooltip="モンスター/タップデビル (8d)" display="http://mp.swiki.jp/index.php?%E3%83%A2%E3%83%B3%E3%82%B9%E3%82%BF%E3%83%BC%2F%E3%82%BF%E3%83%83%E3%83%97%E3%83%87%E3%83%93%E3%83%AB"/>
    <hyperlink ref="B106" r:id="rId103" tooltip="モンスター/スペクテット (7d)" display="http://mp.swiki.jp/index.php?%E3%83%A2%E3%83%B3%E3%82%B9%E3%82%BF%E3%83%BC%2F%E3%82%B9%E3%83%9A%E3%82%AF%E3%83%86%E3%83%83%E3%83%88"/>
    <hyperlink ref="B107" r:id="rId104" tooltip="モンスター/ホークマン (3d)" display="http://mp.swiki.jp/index.php?%E3%83%A2%E3%83%B3%E3%82%B9%E3%82%BF%E3%83%BC%2F%E3%83%9B%E3%83%BC%E3%82%AF%E3%83%9E%E3%83%B3"/>
    <hyperlink ref="B108" r:id="rId105" tooltip="モンスター/きめんどうし (4d)" display="http://mp.swiki.jp/index.php?%E3%83%A2%E3%83%B3%E3%82%B9%E3%82%BF%E3%83%BC%2F%E3%81%8D%E3%82%81%E3%82%93%E3%81%A9%E3%81%86%E3%81%97"/>
    <hyperlink ref="B109" r:id="rId106" tooltip="モンスター/トロル (11d)" display="http://mp.swiki.jp/index.php?%E3%83%A2%E3%83%B3%E3%82%B9%E3%82%BF%E3%83%BC%2F%E3%83%88%E3%83%AD%E3%83%AB"/>
    <hyperlink ref="B110" r:id="rId107" tooltip="モンスター/あくましんかん (4d)" display="http://mp.swiki.jp/index.php?%E3%83%A2%E3%83%B3%E3%82%B9%E3%82%BF%E3%83%BC%2F%E3%81%82%E3%81%8F%E3%81%BE%E3%81%97%E3%82%93%E3%81%8B%E3%82%93"/>
    <hyperlink ref="B111" r:id="rId108" tooltip="モンスター/ギガンテス (11d)" display="http://mp.swiki.jp/index.php?%E3%83%A2%E3%83%B3%E3%82%B9%E3%82%BF%E3%83%BC%2F%E3%82%AE%E3%82%AC%E3%83%B3%E3%83%86%E3%82%B9"/>
    <hyperlink ref="B112" r:id="rId109" tooltip="モンスター/シルバーデビル (17d)" display="http://mp.swiki.jp/index.php?%E3%83%A2%E3%83%B3%E3%82%B9%E3%82%BF%E3%83%BC%2F%E3%82%B7%E3%83%AB%E3%83%90%E3%83%BC%E3%83%87%E3%83%93%E3%83%AB"/>
    <hyperlink ref="B113" r:id="rId110" tooltip="モンスター/スモールグール (13h)" display="http://mp.swiki.jp/index.php?%E3%83%A2%E3%83%B3%E3%82%B9%E3%82%BF%E3%83%BC%2F%E3%82%B9%E3%83%A2%E3%83%BC%E3%83%AB%E3%82%B0%E3%83%BC%E3%83%AB"/>
    <hyperlink ref="B114" r:id="rId111" tooltip="モンスター/ヘルゴースト (2d)" display="http://mp.swiki.jp/index.php?%E3%83%A2%E3%83%B3%E3%82%B9%E3%82%BF%E3%83%BC%2F%E3%83%98%E3%83%AB%E3%82%B4%E3%83%BC%E3%82%B9%E3%83%88"/>
    <hyperlink ref="B115" r:id="rId112" tooltip="モンスター/マネマネ (1d)" display="http://mp.swiki.jp/index.php?%E3%83%A2%E3%83%B3%E3%82%B9%E3%82%BF%E3%83%BC%2F%E3%83%9E%E3%83%8D%E3%83%9E%E3%83%8D"/>
    <hyperlink ref="B116" r:id="rId113" tooltip="モンスター/マージマタンゴ (3d)" display="http://mp.swiki.jp/index.php?%E3%83%A2%E3%83%B3%E3%82%B9%E3%82%BF%E3%83%BC%2F%E3%83%9E%E3%83%BC%E3%82%B8%E3%83%9E%E3%82%BF%E3%83%B3%E3%82%B4"/>
    <hyperlink ref="B117" r:id="rId114" tooltip="モンスター/グール (6d)" display="http://mp.swiki.jp/index.php?%E3%83%A2%E3%83%B3%E3%82%B9%E3%82%BF%E3%83%BC%2F%E3%82%B0%E3%83%BC%E3%83%AB"/>
    <hyperlink ref="B118" r:id="rId115" tooltip="モンスター/死神きぞく (3d)" display="http://mp.swiki.jp/index.php?%E3%83%A2%E3%83%B3%E3%82%B9%E3%82%BF%E3%83%BC%2F%E6%AD%BB%E7%A5%9E%E3%81%8D%E3%81%9E%E3%81%8F"/>
    <hyperlink ref="B119" r:id="rId116" tooltip="モンスター/じごくのよろい (1d)" display="http://mp.swiki.jp/index.php?%E3%83%A2%E3%83%B3%E3%82%B9%E3%82%BF%E3%83%BC%2F%E3%81%98%E3%81%94%E3%81%8F%E3%81%AE%E3%82%88%E3%82%8D%E3%81%84"/>
    <hyperlink ref="B120" r:id="rId117" tooltip="モンスター/ベスノザのつかい (22d)" display="http://mp.swiki.jp/index.php?%E3%83%A2%E3%83%B3%E3%82%B9%E3%82%BF%E3%83%BC%2F%E3%83%99%E3%82%B9%E3%83%8E%E3%82%B6%E3%81%AE%E3%81%A4%E3%81%8B%E3%81%84"/>
    <hyperlink ref="B121" r:id="rId118" tooltip="モンスター/夢魔ベスノザ (22d)" display="http://mp.swiki.jp/index.php?%E3%83%A2%E3%83%B3%E3%82%B9%E3%82%BF%E3%83%BC%2F%E5%A4%A2%E9%AD%94%E3%83%99%E3%82%B9%E3%83%8E%E3%82%B6"/>
    <hyperlink ref="B122" r:id="rId119" tooltip="モンスター/キャプテンスライム (11d)" display="http://mp.swiki.jp/index.php?%E3%83%A2%E3%83%B3%E3%82%B9%E3%82%BF%E3%83%BC%2F%E3%82%AD%E3%83%A3%E3%83%97%E3%83%86%E3%83%B3%E3%82%B9%E3%83%A9%E3%82%A4%E3%83%A0"/>
    <hyperlink ref="B123" r:id="rId120" tooltip="モンスター/ライムスライム (9d)" display="http://mp.swiki.jp/index.php?%E3%83%A2%E3%83%B3%E3%82%B9%E3%82%BF%E3%83%BC%2F%E3%83%A9%E3%82%A4%E3%83%A0%E3%82%B9%E3%83%A9%E3%82%A4%E3%83%A0"/>
    <hyperlink ref="B124" r:id="rId121" tooltip="モンスター/レモンスライム (10d)" display="http://mp.swiki.jp/index.php?%E3%83%A2%E3%83%B3%E3%82%B9%E3%82%BF%E3%83%BC%2F%E3%83%AC%E3%83%A2%E3%83%B3%E3%82%B9%E3%83%A9%E3%82%A4%E3%83%A0"/>
    <hyperlink ref="B125" r:id="rId122" tooltip="モンスター/プレミアムスライム (4d)" display="http://mp.swiki.jp/index.php?%E3%83%A2%E3%83%B3%E3%82%B9%E3%82%BF%E3%83%BC%2F%E3%83%97%E3%83%AC%E3%83%9F%E3%82%A2%E3%83%A0%E3%82%B9%E3%83%A9%E3%82%A4%E3%83%A0"/>
    <hyperlink ref="B126" r:id="rId123" tooltip="モンスター/トンブレロ (9d)" display="http://mp.swiki.jp/index.php?%E3%83%A2%E3%83%B3%E3%82%B9%E3%82%BF%E3%83%BC%2F%E3%83%88%E3%83%B3%E3%83%96%E3%83%AC%E3%83%AD"/>
    <hyperlink ref="B127" r:id="rId124" tooltip="モンスター/トンブレロ (9d)" display=" はぐれメタル"/>
    <hyperlink ref="B128" r:id="rId125" tooltip="モンスター/ミニスライム (15d)" display="http://mp.swiki.jp/index.php?%E3%83%A2%E3%83%B3%E3%82%B9%E3%82%BF%E3%83%BC%2F%E3%83%9F%E3%83%8B%E3%82%B9%E3%83%A9%E3%82%A4%E3%83%A0"/>
    <hyperlink ref="B129" r:id="rId126" tooltip="モンスター/ミニホイミスライム (15d)" display="http://mp.swiki.jp/index.php?%E3%83%A2%E3%83%B3%E3%82%B9%E3%82%BF%E3%83%BC%2F%E3%83%9F%E3%83%8B%E3%83%9B%E3%82%A4%E3%83%9F%E3%82%B9%E3%83%A9%E3%82%A4%E3%83%A0"/>
    <hyperlink ref="B130" r:id="rId127" tooltip="モンスター/ミニスライムベス (4d)" display="http://mp.swiki.jp/index.php?%E3%83%A2%E3%83%B3%E3%82%B9%E3%82%BF%E3%83%BC%2F%E3%83%9F%E3%83%8B%E3%82%B9%E3%83%A9%E3%82%A4%E3%83%A0%E3%83%99%E3%82%B9"/>
    <hyperlink ref="B131" r:id="rId128" tooltip="モンスター/ミニスライムナイト (15d)" display="http://mp.swiki.jp/index.php?%E3%83%A2%E3%83%B3%E3%82%B9%E3%82%BF%E3%83%BC%2F%E3%83%9F%E3%83%8B%E3%82%B9%E3%83%A9%E3%82%A4%E3%83%A0%E3%83%8A%E3%82%A4%E3%83%88"/>
    <hyperlink ref="B132" r:id="rId129" tooltip="モンスター/ミニスライムタワー (15d)" display="http://mp.swiki.jp/index.php?%E3%83%A2%E3%83%B3%E3%82%B9%E3%82%BF%E3%83%BC%2F%E3%83%9F%E3%83%8B%E3%82%B9%E3%83%A9%E3%82%A4%E3%83%A0%E3%82%BF%E3%83%AF%E3%83%BC"/>
    <hyperlink ref="B133" r:id="rId130" tooltip="モンスター/ミニメタルスライム (14h)" display="http://mp.swiki.jp/index.php?%E3%83%A2%E3%83%B3%E3%82%B9%E3%82%BF%E3%83%BC%2F%E3%83%9F%E3%83%8B%E3%83%A1%E3%82%BF%E3%83%AB%E3%82%B9%E3%83%A9%E3%82%A4%E3%83%A0"/>
    <hyperlink ref="B134" r:id="rId131" tooltip="モンスター/ミニドラゴンキッズ (15d)" display="http://mp.swiki.jp/index.php?%E3%83%A2%E3%83%B3%E3%82%B9%E3%82%BF%E3%83%BC%2F%E3%83%9F%E3%83%8B%E3%83%89%E3%83%A9%E3%82%B4%E3%83%B3%E3%82%AD%E3%83%83%E3%82%BA"/>
    <hyperlink ref="B135" r:id="rId132" tooltip="モンスター/ミニドラゴン (5d)" display="http://mp.swiki.jp/index.php?%E3%83%A2%E3%83%B3%E3%82%B9%E3%82%BF%E3%83%BC%2F%E3%83%9F%E3%83%8B%E3%83%89%E3%83%A9%E3%82%B4%E3%83%B3"/>
    <hyperlink ref="B137" r:id="rId133" tooltip="モンスター/ミニいっかくウサギ (15d)" display="http://mp.swiki.jp/index.php?%E3%83%A2%E3%83%B3%E3%82%B9%E3%82%BF%E3%83%BC%2F%E3%83%9F%E3%83%8B%E3%81%84%E3%81%A3%E3%81%8B%E3%81%8F%E3%82%A6%E3%82%B5%E3%82%AE"/>
    <hyperlink ref="B138" r:id="rId134" tooltip="モンスター/ミニベビーパンサー (15d)" display="http://mp.swiki.jp/index.php?%E3%83%A2%E3%83%B3%E3%82%B9%E3%82%BF%E3%83%BC%2F%E3%83%9F%E3%83%8B%E3%83%99%E3%83%93%E3%83%BC%E3%83%91%E3%83%B3%E3%82%B5%E3%83%BC"/>
    <hyperlink ref="B139" r:id="rId135" tooltip="モンスター/ミニももんじゃ (15d)" display="http://mp.swiki.jp/index.php?%E3%83%A2%E3%83%B3%E3%82%B9%E3%82%BF%E3%83%BC%2F%E3%83%9F%E3%83%8B%E3%82%82%E3%82%82%E3%82%93%E3%81%98%E3%82%83"/>
    <hyperlink ref="B140" r:id="rId136" tooltip="モンスター/ミニおおきづち (15d)" display="http://mp.swiki.jp/index.php?%E3%83%A2%E3%83%B3%E3%82%B9%E3%82%BF%E3%83%BC%2F%E3%83%9F%E3%83%8B%E3%81%8A%E3%81%8A%E3%81%8D%E3%81%A5%E3%81%A1"/>
    <hyperlink ref="B141" r:id="rId137" tooltip="モンスター/ミニモーモン (4d)" display="http://mp.swiki.jp/index.php?%E3%83%A2%E3%83%B3%E3%82%B9%E3%82%BF%E3%83%BC%2F%E3%83%9F%E3%83%8B%E3%83%A2%E3%83%BC%E3%83%A2%E3%83%B3"/>
    <hyperlink ref="B142" r:id="rId138" tooltip="モンスター/ミニいたずらもぐら (9d)" display="http://mp.swiki.jp/index.php?%E3%83%A2%E3%83%B3%E3%82%B9%E3%82%BF%E3%83%BC%2F%E3%83%9F%E3%83%8B%E3%81%84%E3%81%9F%E3%81%9A%E3%82%89%E3%82%82%E3%81%90%E3%82%89"/>
    <hyperlink ref="B143" r:id="rId139" tooltip="モンスター/ミニわらいぶくろ (15d)" display="http://mp.swiki.jp/index.php?%E3%83%A2%E3%83%B3%E3%82%B9%E3%82%BF%E3%83%BC%2F%E3%83%9F%E3%83%8B%E3%82%8F%E3%82%89%E3%81%84%E3%81%B6%E3%81%8F%E3%82%8D"/>
    <hyperlink ref="B144" r:id="rId140" tooltip="モンスター/ミニばくだんいわ (4d)" display="http://mp.swiki.jp/index.php?%E3%83%A2%E3%83%B3%E3%82%B9%E3%82%BF%E3%83%BC%2F%E3%83%9F%E3%83%8B%E3%81%B0%E3%81%8F%E3%81%A0%E3%82%93%E3%81%84%E3%82%8F"/>
    <hyperlink ref="B145" r:id="rId141" tooltip="モンスター/ミニゴーレム (15d)" display="http://mp.swiki.jp/index.php?%E3%83%A2%E3%83%B3%E3%82%B9%E3%82%BF%E3%83%BC%2F%E3%83%9F%E3%83%8B%E3%82%B4%E3%83%BC%E3%83%AC%E3%83%A0"/>
    <hyperlink ref="B146" r:id="rId142" tooltip="モンスター/ミニゴールドマン (15d)" display="http://mp.swiki.jp/index.php?%E3%83%A2%E3%83%B3%E3%82%B9%E3%82%BF%E3%83%BC%2F%E3%83%9F%E3%83%8B%E3%82%B4%E3%83%BC%E3%83%AB%E3%83%89%E3%83%9E%E3%83%B3"/>
    <hyperlink ref="B147" r:id="rId143" tooltip="モンスター/ミニドラキー (15d)" display="http://mp.swiki.jp/index.php?%E3%83%A2%E3%83%B3%E3%82%B9%E3%82%BF%E3%83%BC%2F%E3%83%9F%E3%83%8B%E3%83%89%E3%83%A9%E3%82%AD%E3%83%BC"/>
    <hyperlink ref="B148" r:id="rId144" tooltip="モンスター/ミニリップス (3d)" display="http://mp.swiki.jp/index.php?%E3%83%A2%E3%83%B3%E3%82%B9%E3%82%BF%E3%83%BC%2F%E3%83%9F%E3%83%8B%E3%83%AA%E3%83%83%E3%83%97%E3%82%B9"/>
    <hyperlink ref="B149" r:id="rId145" tooltip="モンスター/ミニデザートデーモン (8d)" display="http://mp.swiki.jp/index.php?%E3%83%A2%E3%83%B3%E3%82%B9%E3%82%BF%E3%83%BC%2F%E3%83%9F%E3%83%8B%E3%83%87%E3%82%B6%E3%83%BC%E3%83%88%E3%83%87%E3%83%BC%E3%83%A2%E3%83%B3"/>
    <hyperlink ref="B150" r:id="rId146" tooltip="モンスター/ミニサイクロプス (15d)" display="http://mp.swiki.jp/index.php?%E3%83%A2%E3%83%B3%E3%82%B9%E3%82%BF%E3%83%BC%2F%E3%83%9F%E3%83%8B%E3%82%B5%E3%82%A4%E3%82%AF%E3%83%AD%E3%83%97%E3%82%B9"/>
    <hyperlink ref="B151" r:id="rId147" tooltip="モンスター/ミニつちわらし (9d)" display="http://mp.swiki.jp/index.php?%E3%83%A2%E3%83%B3%E3%82%B9%E3%82%BF%E3%83%BC%2F%E3%83%9F%E3%83%8B%E3%81%A4%E3%81%A1%E3%82%8F%E3%82%89%E3%81%97"/>
    <hyperlink ref="B152" r:id="rId148" tooltip="モンスター/ミニおばけキャンドル (15d)" display="http://mp.swiki.jp/index.php?%E3%83%A2%E3%83%B3%E3%82%B9%E3%82%BF%E3%83%BC%2F%E3%83%9F%E3%83%8B%E3%81%8A%E3%81%B0%E3%81%91%E3%82%AD%E3%83%A3%E3%83%B3%E3%83%89%E3%83%AB"/>
    <hyperlink ref="B154" r:id="rId149" tooltip="モンスター/マッドプラント (21m)" display="http://mp.swiki.jp/index.php?%E3%83%A2%E3%83%B3%E3%82%B9%E3%82%BF%E3%83%BC%2F%E3%83%9E%E3%83%83%E3%83%89%E3%83%97%E3%83%A9%E3%83%B3%E3%83%88"/>
    <hyperlink ref="B155" r:id="rId150" tooltip="モンスター/ぐんたいガニ (9m)" display="http://mp.swiki.jp/index.php?%E3%83%A2%E3%83%B3%E3%82%B9%E3%82%BF%E3%83%BC%2F%E3%81%90%E3%82%93%E3%81%9F%E3%81%84%E3%82%AC%E3%83%8B"/>
    <hyperlink ref="B157" r:id="rId151" tooltip="モンスター/ビッグハンマー (45m)" display="http://mp.swiki.jp/index.php?%E3%83%A2%E3%83%B3%E3%82%B9%E3%82%BF%E3%83%BC%2F%E3%83%93%E3%83%83%E3%82%B0%E3%83%8F%E3%83%B3%E3%83%9E%E3%83%BC"/>
    <hyperlink ref="B158" r:id="rId152" tooltip="モンスター/ギズモ (42m)" display="http://mp.swiki.jp/index.php?%E3%83%A2%E3%83%B3%E3%82%B9%E3%82%BF%E3%83%BC%2F%E3%82%AE%E3%82%BA%E3%83%A2"/>
    <hyperlink ref="B159" r:id="rId153" tooltip="モンスター/ミニデーモン (42m)" display="http://mp.swiki.jp/index.php?%E3%83%A2%E3%83%B3%E3%82%B9%E3%82%BF%E3%83%BC%2F%E3%83%9F%E3%83%8B%E3%83%87%E3%83%BC%E3%83%A2%E3%83%B3"/>
    <hyperlink ref="B160" r:id="rId154" tooltip="モンスター/バアラック (43m)" display="http://mp.swiki.jp/index.php?%E3%83%A2%E3%83%B3%E3%82%B9%E3%82%BF%E3%83%BC%2F%E3%83%90%E3%82%A2%E3%83%A9%E3%83%83%E3%82%AF"/>
    <hyperlink ref="B136" r:id="rId155" tooltip="モンスター/ミニしましまキャット (15d)" display="http://mp.swiki.jp/index.php?%E3%83%A2%E3%83%B3%E3%82%B9%E3%82%BF%E3%83%BC%2F%E3%83%9F%E3%83%8B%E3%81%97%E3%81%BE%E3%81%97%E3%81%BE%E3%82%AD%E3%83%A3%E3%83%83%E3%83%88"/>
  </hyperlinks>
  <pageMargins left="0.75" right="0.75" top="1" bottom="1" header="0.51200000000000001" footer="0.51200000000000001"/>
  <pageSetup paperSize="9" orientation="portrait" horizontalDpi="300" verticalDpi="0" r:id="rId15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J47"/>
  <sheetViews>
    <sheetView showGridLines="0" zoomScale="85" zoomScaleNormal="85" workbookViewId="0"/>
  </sheetViews>
  <sheetFormatPr defaultRowHeight="13.5"/>
  <cols>
    <col min="1" max="1" width="16.375" customWidth="1"/>
    <col min="9" max="9" width="20.125" customWidth="1"/>
    <col min="10" max="10" width="25.875" customWidth="1"/>
  </cols>
  <sheetData>
    <row r="1" spans="1:10" ht="18.75">
      <c r="A1" s="26" t="s">
        <v>339</v>
      </c>
    </row>
    <row r="2" spans="1:10">
      <c r="A2" s="48" t="s">
        <v>331</v>
      </c>
      <c r="B2" s="49" t="s">
        <v>6</v>
      </c>
      <c r="C2" s="49" t="s">
        <v>7</v>
      </c>
      <c r="D2" s="49" t="s">
        <v>8</v>
      </c>
      <c r="E2" s="49" t="s">
        <v>9</v>
      </c>
      <c r="F2" s="49" t="s">
        <v>332</v>
      </c>
      <c r="G2" s="49" t="s">
        <v>11</v>
      </c>
      <c r="H2" s="49" t="s">
        <v>333</v>
      </c>
      <c r="I2" s="48" t="s">
        <v>334</v>
      </c>
      <c r="J2" s="48" t="s">
        <v>335</v>
      </c>
    </row>
    <row r="3" spans="1:10">
      <c r="A3" s="50" t="s">
        <v>55</v>
      </c>
      <c r="B3" s="51">
        <v>100</v>
      </c>
      <c r="C3" s="51">
        <v>100</v>
      </c>
      <c r="D3" s="51">
        <v>100</v>
      </c>
      <c r="E3" s="51">
        <v>100</v>
      </c>
      <c r="F3" s="51">
        <v>100</v>
      </c>
      <c r="G3" s="51">
        <v>100</v>
      </c>
      <c r="H3" s="51">
        <v>600</v>
      </c>
      <c r="I3" s="50" t="s">
        <v>314</v>
      </c>
      <c r="J3" s="50" t="s">
        <v>329</v>
      </c>
    </row>
    <row r="4" spans="1:10">
      <c r="A4" s="12" t="s">
        <v>12</v>
      </c>
      <c r="B4" s="43">
        <v>84</v>
      </c>
      <c r="C4" s="44">
        <v>95</v>
      </c>
      <c r="D4" s="45">
        <v>84</v>
      </c>
      <c r="E4" s="43">
        <v>76</v>
      </c>
      <c r="F4" s="44">
        <v>106</v>
      </c>
      <c r="G4" s="46">
        <v>138</v>
      </c>
      <c r="H4" s="44">
        <v>583</v>
      </c>
      <c r="I4" s="12" t="s">
        <v>314</v>
      </c>
      <c r="J4" s="12" t="s">
        <v>315</v>
      </c>
    </row>
    <row r="5" spans="1:10">
      <c r="A5" s="12" t="s">
        <v>15</v>
      </c>
      <c r="B5" s="43">
        <v>77</v>
      </c>
      <c r="C5" s="43">
        <v>77</v>
      </c>
      <c r="D5" s="44">
        <v>95</v>
      </c>
      <c r="E5" s="43">
        <v>84</v>
      </c>
      <c r="F5" s="46">
        <v>114</v>
      </c>
      <c r="G5" s="46">
        <v>119</v>
      </c>
      <c r="H5" s="43">
        <v>556</v>
      </c>
      <c r="I5" s="12" t="s">
        <v>314</v>
      </c>
      <c r="J5" s="12" t="s">
        <v>315</v>
      </c>
    </row>
    <row r="6" spans="1:10">
      <c r="A6" s="12" t="s">
        <v>316</v>
      </c>
      <c r="B6" s="43">
        <v>84</v>
      </c>
      <c r="C6" s="46">
        <v>120</v>
      </c>
      <c r="D6" s="44">
        <v>92</v>
      </c>
      <c r="E6" s="46">
        <v>112</v>
      </c>
      <c r="F6" s="43">
        <v>59</v>
      </c>
      <c r="G6" s="46">
        <v>133</v>
      </c>
      <c r="H6" s="44">
        <v>600</v>
      </c>
      <c r="I6" s="12" t="s">
        <v>314</v>
      </c>
      <c r="J6" s="12" t="s">
        <v>315</v>
      </c>
    </row>
    <row r="7" spans="1:10">
      <c r="A7" s="12" t="s">
        <v>317</v>
      </c>
      <c r="B7" s="46">
        <v>122</v>
      </c>
      <c r="C7" s="43">
        <v>60</v>
      </c>
      <c r="D7" s="44">
        <v>100</v>
      </c>
      <c r="E7" s="46">
        <v>125</v>
      </c>
      <c r="F7" s="46">
        <v>125</v>
      </c>
      <c r="G7" s="43">
        <v>83</v>
      </c>
      <c r="H7" s="46">
        <v>615</v>
      </c>
      <c r="I7" s="12" t="s">
        <v>318</v>
      </c>
      <c r="J7" s="12" t="s">
        <v>319</v>
      </c>
    </row>
    <row r="8" spans="1:10">
      <c r="A8" s="12" t="s">
        <v>21</v>
      </c>
      <c r="B8" s="43">
        <v>88</v>
      </c>
      <c r="C8" s="44">
        <v>100</v>
      </c>
      <c r="D8" s="44">
        <v>108</v>
      </c>
      <c r="E8" s="43">
        <v>82</v>
      </c>
      <c r="F8" s="46">
        <v>118</v>
      </c>
      <c r="G8" s="46">
        <v>112</v>
      </c>
      <c r="H8" s="44">
        <v>608</v>
      </c>
      <c r="I8" s="12" t="s">
        <v>320</v>
      </c>
      <c r="J8" s="12" t="s">
        <v>315</v>
      </c>
    </row>
    <row r="9" spans="1:10">
      <c r="A9" s="12" t="s">
        <v>22</v>
      </c>
      <c r="B9" s="46">
        <v>122</v>
      </c>
      <c r="C9" s="43">
        <v>76</v>
      </c>
      <c r="D9" s="45">
        <v>84</v>
      </c>
      <c r="E9" s="43">
        <v>71</v>
      </c>
      <c r="F9" s="46">
        <v>126</v>
      </c>
      <c r="G9" s="43">
        <v>60</v>
      </c>
      <c r="H9" s="43">
        <v>539</v>
      </c>
      <c r="I9" s="12" t="s">
        <v>321</v>
      </c>
      <c r="J9" s="12" t="s">
        <v>322</v>
      </c>
    </row>
    <row r="10" spans="1:10">
      <c r="A10" s="12" t="s">
        <v>23</v>
      </c>
      <c r="B10" s="46">
        <v>132</v>
      </c>
      <c r="C10" s="43">
        <v>65</v>
      </c>
      <c r="D10" s="44">
        <v>108</v>
      </c>
      <c r="E10" s="46">
        <v>112</v>
      </c>
      <c r="F10" s="45">
        <v>53</v>
      </c>
      <c r="G10" s="43">
        <v>60</v>
      </c>
      <c r="H10" s="43">
        <v>530</v>
      </c>
      <c r="I10" s="12" t="s">
        <v>323</v>
      </c>
      <c r="J10" s="12" t="s">
        <v>319</v>
      </c>
    </row>
    <row r="11" spans="1:10">
      <c r="A11" s="12" t="s">
        <v>24</v>
      </c>
      <c r="B11" s="43">
        <v>70</v>
      </c>
      <c r="C11" s="46">
        <v>132</v>
      </c>
      <c r="D11" s="46">
        <v>113</v>
      </c>
      <c r="E11" s="46">
        <v>112</v>
      </c>
      <c r="F11" s="43">
        <v>65</v>
      </c>
      <c r="G11" s="44">
        <v>109</v>
      </c>
      <c r="H11" s="44">
        <v>601</v>
      </c>
      <c r="I11" s="12" t="s">
        <v>318</v>
      </c>
      <c r="J11" s="12" t="s">
        <v>324</v>
      </c>
    </row>
    <row r="12" spans="1:10">
      <c r="A12" s="12" t="s">
        <v>25</v>
      </c>
      <c r="B12" s="46">
        <v>115</v>
      </c>
      <c r="C12" s="43">
        <v>75</v>
      </c>
      <c r="D12" s="46">
        <v>117</v>
      </c>
      <c r="E12" s="43">
        <v>76</v>
      </c>
      <c r="F12" s="44">
        <v>98</v>
      </c>
      <c r="G12" s="43">
        <v>65</v>
      </c>
      <c r="H12" s="43">
        <v>546</v>
      </c>
      <c r="I12" s="12" t="s">
        <v>321</v>
      </c>
      <c r="J12" s="12" t="s">
        <v>325</v>
      </c>
    </row>
    <row r="13" spans="1:10">
      <c r="A13" s="12" t="s">
        <v>26</v>
      </c>
      <c r="B13" s="46">
        <v>113</v>
      </c>
      <c r="C13" s="43">
        <v>81</v>
      </c>
      <c r="D13" s="44">
        <v>100</v>
      </c>
      <c r="E13" s="44">
        <v>104</v>
      </c>
      <c r="F13" s="46">
        <v>118</v>
      </c>
      <c r="G13" s="43">
        <v>85</v>
      </c>
      <c r="H13" s="44">
        <v>601</v>
      </c>
      <c r="I13" s="12" t="s">
        <v>318</v>
      </c>
      <c r="J13" s="12" t="s">
        <v>319</v>
      </c>
    </row>
    <row r="14" spans="1:10">
      <c r="A14" s="12" t="s">
        <v>326</v>
      </c>
      <c r="B14" s="44">
        <v>92</v>
      </c>
      <c r="C14" s="43">
        <v>71</v>
      </c>
      <c r="D14" s="43">
        <v>88</v>
      </c>
      <c r="E14" s="43">
        <v>84</v>
      </c>
      <c r="F14" s="46">
        <v>128</v>
      </c>
      <c r="G14" s="43">
        <v>84</v>
      </c>
      <c r="H14" s="43">
        <v>547</v>
      </c>
      <c r="I14" s="12" t="s">
        <v>321</v>
      </c>
      <c r="J14" s="12" t="s">
        <v>322</v>
      </c>
    </row>
    <row r="15" spans="1:10">
      <c r="A15" s="12" t="s">
        <v>29</v>
      </c>
      <c r="B15" s="44">
        <v>104</v>
      </c>
      <c r="C15" s="43">
        <v>71</v>
      </c>
      <c r="D15" s="46">
        <v>122</v>
      </c>
      <c r="E15" s="45">
        <v>60</v>
      </c>
      <c r="F15" s="44">
        <v>109</v>
      </c>
      <c r="G15" s="44">
        <v>93</v>
      </c>
      <c r="H15" s="43">
        <v>559</v>
      </c>
      <c r="I15" s="12" t="s">
        <v>321</v>
      </c>
      <c r="J15" s="12" t="s">
        <v>324</v>
      </c>
    </row>
    <row r="16" spans="1:10">
      <c r="A16" s="12" t="s">
        <v>30</v>
      </c>
      <c r="B16" s="43">
        <v>71</v>
      </c>
      <c r="C16" s="44">
        <v>95</v>
      </c>
      <c r="D16" s="46">
        <v>125</v>
      </c>
      <c r="E16" s="43">
        <v>82</v>
      </c>
      <c r="F16" s="44">
        <v>106</v>
      </c>
      <c r="G16" s="43">
        <v>84</v>
      </c>
      <c r="H16" s="43">
        <v>563</v>
      </c>
      <c r="I16" s="12" t="s">
        <v>314</v>
      </c>
      <c r="J16" s="12" t="s">
        <v>324</v>
      </c>
    </row>
    <row r="17" spans="1:10">
      <c r="A17" s="12" t="s">
        <v>31</v>
      </c>
      <c r="B17" s="44">
        <v>109</v>
      </c>
      <c r="C17" s="43">
        <v>84</v>
      </c>
      <c r="D17" s="46">
        <v>112</v>
      </c>
      <c r="E17" s="46">
        <v>125</v>
      </c>
      <c r="F17" s="45">
        <v>53</v>
      </c>
      <c r="G17" s="45">
        <v>53</v>
      </c>
      <c r="H17" s="43">
        <v>536</v>
      </c>
      <c r="I17" s="12" t="s">
        <v>321</v>
      </c>
      <c r="J17" s="12" t="s">
        <v>327</v>
      </c>
    </row>
    <row r="18" spans="1:10">
      <c r="A18" s="12" t="s">
        <v>32</v>
      </c>
      <c r="B18" s="46">
        <v>117</v>
      </c>
      <c r="C18" s="44">
        <v>96</v>
      </c>
      <c r="D18" s="44">
        <v>104</v>
      </c>
      <c r="E18" s="46">
        <v>112</v>
      </c>
      <c r="F18" s="44">
        <v>93</v>
      </c>
      <c r="G18" s="43">
        <v>77</v>
      </c>
      <c r="H18" s="44">
        <v>599</v>
      </c>
      <c r="I18" s="12" t="s">
        <v>314</v>
      </c>
      <c r="J18" s="12" t="s">
        <v>319</v>
      </c>
    </row>
    <row r="19" spans="1:10">
      <c r="A19" s="12" t="s">
        <v>33</v>
      </c>
      <c r="B19" s="43">
        <v>85</v>
      </c>
      <c r="C19" s="43">
        <v>71</v>
      </c>
      <c r="D19" s="46">
        <v>112</v>
      </c>
      <c r="E19" s="44">
        <v>91</v>
      </c>
      <c r="F19" s="44">
        <v>90</v>
      </c>
      <c r="G19" s="46">
        <v>131</v>
      </c>
      <c r="H19" s="44">
        <v>590</v>
      </c>
      <c r="I19" s="12" t="s">
        <v>318</v>
      </c>
      <c r="J19" s="12" t="s">
        <v>315</v>
      </c>
    </row>
    <row r="20" spans="1:10">
      <c r="A20" s="12" t="s">
        <v>34</v>
      </c>
      <c r="B20" s="44">
        <v>108</v>
      </c>
      <c r="C20" s="45">
        <v>59</v>
      </c>
      <c r="D20" s="44">
        <v>108</v>
      </c>
      <c r="E20" s="47">
        <v>142</v>
      </c>
      <c r="F20" s="43">
        <v>68</v>
      </c>
      <c r="G20" s="44">
        <v>103</v>
      </c>
      <c r="H20" s="44">
        <v>588</v>
      </c>
      <c r="I20" s="12" t="s">
        <v>314</v>
      </c>
      <c r="J20" s="12" t="s">
        <v>319</v>
      </c>
    </row>
    <row r="21" spans="1:10">
      <c r="A21" s="12" t="s">
        <v>35</v>
      </c>
      <c r="B21" s="44">
        <v>103</v>
      </c>
      <c r="C21" s="43">
        <v>83</v>
      </c>
      <c r="D21" s="47">
        <v>133</v>
      </c>
      <c r="E21" s="43">
        <v>82</v>
      </c>
      <c r="F21" s="43">
        <v>75</v>
      </c>
      <c r="G21" s="43">
        <v>65</v>
      </c>
      <c r="H21" s="43">
        <v>541</v>
      </c>
      <c r="I21" s="12" t="s">
        <v>321</v>
      </c>
      <c r="J21" s="12" t="s">
        <v>325</v>
      </c>
    </row>
    <row r="22" spans="1:10">
      <c r="A22" s="12" t="s">
        <v>36</v>
      </c>
      <c r="B22" s="43">
        <v>70</v>
      </c>
      <c r="C22" s="46">
        <v>123</v>
      </c>
      <c r="D22" s="44">
        <v>100</v>
      </c>
      <c r="E22" s="43">
        <v>84</v>
      </c>
      <c r="F22" s="44">
        <v>92</v>
      </c>
      <c r="G22" s="44">
        <v>108</v>
      </c>
      <c r="H22" s="43">
        <v>577</v>
      </c>
      <c r="I22" s="12" t="s">
        <v>314</v>
      </c>
      <c r="J22" s="12" t="s">
        <v>315</v>
      </c>
    </row>
    <row r="23" spans="1:10">
      <c r="A23" s="12" t="s">
        <v>37</v>
      </c>
      <c r="B23" s="44">
        <v>100</v>
      </c>
      <c r="C23" s="47">
        <v>140</v>
      </c>
      <c r="D23" s="44">
        <v>92</v>
      </c>
      <c r="E23" s="43">
        <v>64</v>
      </c>
      <c r="F23" s="46">
        <v>114</v>
      </c>
      <c r="G23" s="43">
        <v>76</v>
      </c>
      <c r="H23" s="44">
        <v>586</v>
      </c>
      <c r="I23" s="12" t="s">
        <v>314</v>
      </c>
      <c r="J23" s="12" t="s">
        <v>328</v>
      </c>
    </row>
    <row r="24" spans="1:10">
      <c r="A24" s="12" t="s">
        <v>38</v>
      </c>
      <c r="B24" s="44">
        <v>103</v>
      </c>
      <c r="C24" s="43">
        <v>72</v>
      </c>
      <c r="D24" s="44">
        <v>100</v>
      </c>
      <c r="E24" s="44">
        <v>108</v>
      </c>
      <c r="F24" s="44">
        <v>106</v>
      </c>
      <c r="G24" s="43">
        <v>82</v>
      </c>
      <c r="H24" s="43">
        <v>571</v>
      </c>
      <c r="I24" s="12" t="s">
        <v>314</v>
      </c>
      <c r="J24" s="12" t="s">
        <v>329</v>
      </c>
    </row>
    <row r="25" spans="1:10">
      <c r="A25" s="12" t="s">
        <v>40</v>
      </c>
      <c r="B25" s="43">
        <v>77</v>
      </c>
      <c r="C25" s="43">
        <v>64</v>
      </c>
      <c r="D25" s="44">
        <v>92</v>
      </c>
      <c r="E25" s="44">
        <v>94</v>
      </c>
      <c r="F25" s="46">
        <v>118</v>
      </c>
      <c r="G25" s="46">
        <v>113</v>
      </c>
      <c r="H25" s="43">
        <v>558</v>
      </c>
      <c r="I25" s="12" t="s">
        <v>314</v>
      </c>
      <c r="J25" s="12" t="s">
        <v>315</v>
      </c>
    </row>
    <row r="26" spans="1:10">
      <c r="A26" s="12" t="s">
        <v>39</v>
      </c>
      <c r="B26" s="43">
        <v>71</v>
      </c>
      <c r="C26" s="44">
        <v>92</v>
      </c>
      <c r="D26" s="44">
        <v>96</v>
      </c>
      <c r="E26" s="44">
        <v>108</v>
      </c>
      <c r="F26" s="46">
        <v>115</v>
      </c>
      <c r="G26" s="47">
        <v>142</v>
      </c>
      <c r="H26" s="46">
        <v>624</v>
      </c>
      <c r="I26" s="12" t="s">
        <v>318</v>
      </c>
      <c r="J26" s="12" t="s">
        <v>315</v>
      </c>
    </row>
    <row r="27" spans="1:10">
      <c r="A27" s="12" t="s">
        <v>42</v>
      </c>
      <c r="B27" s="44">
        <v>94</v>
      </c>
      <c r="C27" s="43">
        <v>81</v>
      </c>
      <c r="D27" s="44">
        <v>100</v>
      </c>
      <c r="E27" s="43">
        <v>77</v>
      </c>
      <c r="F27" s="44">
        <v>106</v>
      </c>
      <c r="G27" s="43">
        <v>75</v>
      </c>
      <c r="H27" s="43">
        <v>533</v>
      </c>
      <c r="I27" s="12" t="s">
        <v>321</v>
      </c>
      <c r="J27" s="12" t="s">
        <v>322</v>
      </c>
    </row>
    <row r="28" spans="1:10">
      <c r="A28" s="12" t="s">
        <v>44</v>
      </c>
      <c r="B28" s="46">
        <v>122</v>
      </c>
      <c r="C28" s="43">
        <v>65</v>
      </c>
      <c r="D28" s="46">
        <v>125</v>
      </c>
      <c r="E28" s="43">
        <v>71</v>
      </c>
      <c r="F28" s="44">
        <v>95</v>
      </c>
      <c r="G28" s="43">
        <v>75</v>
      </c>
      <c r="H28" s="43">
        <v>553</v>
      </c>
      <c r="I28" s="12" t="s">
        <v>321</v>
      </c>
      <c r="J28" s="12" t="s">
        <v>325</v>
      </c>
    </row>
    <row r="29" spans="1:10">
      <c r="A29" s="12" t="s">
        <v>45</v>
      </c>
      <c r="B29" s="46">
        <v>117</v>
      </c>
      <c r="C29" s="44">
        <v>96</v>
      </c>
      <c r="D29" s="46">
        <v>118</v>
      </c>
      <c r="E29" s="44">
        <v>100</v>
      </c>
      <c r="F29" s="43">
        <v>65</v>
      </c>
      <c r="G29" s="44">
        <v>93</v>
      </c>
      <c r="H29" s="44">
        <v>589</v>
      </c>
      <c r="I29" s="12" t="s">
        <v>318</v>
      </c>
      <c r="J29" s="12" t="s">
        <v>325</v>
      </c>
    </row>
    <row r="30" spans="1:10">
      <c r="A30" s="12" t="s">
        <v>46</v>
      </c>
      <c r="B30" s="43">
        <v>82</v>
      </c>
      <c r="C30" s="46">
        <v>113</v>
      </c>
      <c r="D30" s="44">
        <v>100</v>
      </c>
      <c r="E30" s="44">
        <v>91</v>
      </c>
      <c r="F30" s="46">
        <v>132</v>
      </c>
      <c r="G30" s="46">
        <v>113</v>
      </c>
      <c r="H30" s="46">
        <v>631</v>
      </c>
      <c r="I30" s="12" t="s">
        <v>320</v>
      </c>
      <c r="J30" s="12" t="s">
        <v>315</v>
      </c>
    </row>
    <row r="31" spans="1:10">
      <c r="A31" s="12" t="s">
        <v>47</v>
      </c>
      <c r="B31" s="43">
        <v>71</v>
      </c>
      <c r="C31" s="46">
        <v>112</v>
      </c>
      <c r="D31" s="44">
        <v>104</v>
      </c>
      <c r="E31" s="44">
        <v>108</v>
      </c>
      <c r="F31" s="44">
        <v>106</v>
      </c>
      <c r="G31" s="43">
        <v>83</v>
      </c>
      <c r="H31" s="44">
        <v>584</v>
      </c>
      <c r="I31" s="12" t="s">
        <v>318</v>
      </c>
      <c r="J31" s="12" t="s">
        <v>328</v>
      </c>
    </row>
    <row r="32" spans="1:10">
      <c r="A32" s="12" t="s">
        <v>48</v>
      </c>
      <c r="B32" s="47">
        <v>142</v>
      </c>
      <c r="C32" s="43">
        <v>81</v>
      </c>
      <c r="D32" s="46">
        <v>112</v>
      </c>
      <c r="E32" s="44">
        <v>108</v>
      </c>
      <c r="F32" s="43">
        <v>68</v>
      </c>
      <c r="G32" s="43">
        <v>79</v>
      </c>
      <c r="H32" s="44">
        <v>590</v>
      </c>
      <c r="I32" s="12" t="s">
        <v>314</v>
      </c>
      <c r="J32" s="12" t="s">
        <v>319</v>
      </c>
    </row>
    <row r="33" spans="1:10">
      <c r="A33" s="12" t="s">
        <v>50</v>
      </c>
      <c r="B33" s="45">
        <v>65</v>
      </c>
      <c r="C33" s="46">
        <v>116</v>
      </c>
      <c r="D33" s="44">
        <v>92</v>
      </c>
      <c r="E33" s="46">
        <v>113</v>
      </c>
      <c r="F33" s="43">
        <v>84</v>
      </c>
      <c r="G33" s="46">
        <v>117</v>
      </c>
      <c r="H33" s="44">
        <v>587</v>
      </c>
      <c r="I33" s="12" t="s">
        <v>314</v>
      </c>
      <c r="J33" s="12" t="s">
        <v>315</v>
      </c>
    </row>
    <row r="34" spans="1:10">
      <c r="A34" s="12" t="s">
        <v>51</v>
      </c>
      <c r="B34" s="46">
        <v>117</v>
      </c>
      <c r="C34" s="43">
        <v>67</v>
      </c>
      <c r="D34" s="46">
        <v>127</v>
      </c>
      <c r="E34" s="43">
        <v>76</v>
      </c>
      <c r="F34" s="46">
        <v>115</v>
      </c>
      <c r="G34" s="43">
        <v>71</v>
      </c>
      <c r="H34" s="43">
        <v>573</v>
      </c>
      <c r="I34" s="12" t="s">
        <v>314</v>
      </c>
      <c r="J34" s="12" t="s">
        <v>325</v>
      </c>
    </row>
    <row r="35" spans="1:10">
      <c r="A35" s="12" t="s">
        <v>52</v>
      </c>
      <c r="B35" s="43">
        <v>88</v>
      </c>
      <c r="C35" s="46">
        <v>120</v>
      </c>
      <c r="D35" s="44">
        <v>100</v>
      </c>
      <c r="E35" s="44">
        <v>100</v>
      </c>
      <c r="F35" s="43">
        <v>80</v>
      </c>
      <c r="G35" s="46">
        <v>119</v>
      </c>
      <c r="H35" s="44">
        <v>607</v>
      </c>
      <c r="I35" s="12" t="s">
        <v>318</v>
      </c>
      <c r="J35" s="12" t="s">
        <v>315</v>
      </c>
    </row>
    <row r="36" spans="1:10">
      <c r="A36" s="12" t="s">
        <v>53</v>
      </c>
      <c r="B36" s="44">
        <v>109</v>
      </c>
      <c r="C36" s="44">
        <v>104</v>
      </c>
      <c r="D36" s="44">
        <v>108</v>
      </c>
      <c r="E36" s="46">
        <v>141</v>
      </c>
      <c r="F36" s="45">
        <v>53</v>
      </c>
      <c r="G36" s="44">
        <v>109</v>
      </c>
      <c r="H36" s="46">
        <v>624</v>
      </c>
      <c r="I36" s="12" t="s">
        <v>318</v>
      </c>
      <c r="J36" s="12" t="s">
        <v>330</v>
      </c>
    </row>
    <row r="37" spans="1:10">
      <c r="A37" s="12" t="s">
        <v>54</v>
      </c>
      <c r="B37" s="43">
        <v>84</v>
      </c>
      <c r="C37" s="44">
        <v>96</v>
      </c>
      <c r="D37" s="45">
        <v>84</v>
      </c>
      <c r="E37" s="43">
        <v>75</v>
      </c>
      <c r="F37" s="44">
        <v>90</v>
      </c>
      <c r="G37" s="44">
        <v>109</v>
      </c>
      <c r="H37" s="43">
        <v>538</v>
      </c>
      <c r="I37" s="12" t="s">
        <v>314</v>
      </c>
      <c r="J37" s="12" t="s">
        <v>322</v>
      </c>
    </row>
    <row r="38" spans="1:10">
      <c r="A38" s="12" t="s">
        <v>56</v>
      </c>
      <c r="B38" s="44">
        <v>100</v>
      </c>
      <c r="C38" s="43">
        <v>76</v>
      </c>
      <c r="D38" s="44">
        <v>96</v>
      </c>
      <c r="E38" s="46">
        <v>122</v>
      </c>
      <c r="F38" s="43">
        <v>81</v>
      </c>
      <c r="G38" s="44">
        <v>108</v>
      </c>
      <c r="H38" s="44">
        <v>583</v>
      </c>
      <c r="I38" s="12" t="s">
        <v>314</v>
      </c>
      <c r="J38" s="12" t="s">
        <v>319</v>
      </c>
    </row>
    <row r="39" spans="1:10">
      <c r="A39" s="12" t="s">
        <v>57</v>
      </c>
      <c r="B39" s="46">
        <v>113</v>
      </c>
      <c r="C39" s="44">
        <v>109</v>
      </c>
      <c r="D39" s="44">
        <v>104</v>
      </c>
      <c r="E39" s="43">
        <v>71</v>
      </c>
      <c r="F39" s="44">
        <v>109</v>
      </c>
      <c r="G39" s="44">
        <v>104</v>
      </c>
      <c r="H39" s="46">
        <v>610</v>
      </c>
      <c r="I39" s="12" t="s">
        <v>318</v>
      </c>
      <c r="J39" s="12" t="s">
        <v>315</v>
      </c>
    </row>
    <row r="40" spans="1:10">
      <c r="A40" s="12" t="s">
        <v>58</v>
      </c>
      <c r="B40" s="43">
        <v>82</v>
      </c>
      <c r="C40" s="44">
        <v>104</v>
      </c>
      <c r="D40" s="44">
        <v>104</v>
      </c>
      <c r="E40" s="46">
        <v>125</v>
      </c>
      <c r="F40" s="44">
        <v>97</v>
      </c>
      <c r="G40" s="46">
        <v>117</v>
      </c>
      <c r="H40" s="46">
        <v>629</v>
      </c>
      <c r="I40" s="12" t="s">
        <v>318</v>
      </c>
      <c r="J40" s="12" t="s">
        <v>315</v>
      </c>
    </row>
    <row r="41" spans="1:10">
      <c r="A41" s="12" t="s">
        <v>59</v>
      </c>
      <c r="B41" s="44">
        <v>100</v>
      </c>
      <c r="C41" s="44">
        <v>109</v>
      </c>
      <c r="D41" s="44">
        <v>104</v>
      </c>
      <c r="E41" s="46">
        <v>122</v>
      </c>
      <c r="F41" s="43">
        <v>75</v>
      </c>
      <c r="G41" s="44">
        <v>108</v>
      </c>
      <c r="H41" s="46">
        <v>618</v>
      </c>
      <c r="I41" s="12" t="s">
        <v>318</v>
      </c>
      <c r="J41" s="12" t="s">
        <v>319</v>
      </c>
    </row>
    <row r="42" spans="1:10">
      <c r="A42" s="12" t="s">
        <v>61</v>
      </c>
      <c r="B42" s="46">
        <v>113</v>
      </c>
      <c r="C42" s="45">
        <v>59</v>
      </c>
      <c r="D42" s="46">
        <v>116</v>
      </c>
      <c r="E42" s="43">
        <v>64</v>
      </c>
      <c r="F42" s="44">
        <v>106</v>
      </c>
      <c r="G42" s="43">
        <v>67</v>
      </c>
      <c r="H42" s="45">
        <v>525</v>
      </c>
      <c r="I42" s="12" t="s">
        <v>323</v>
      </c>
      <c r="J42" s="12" t="s">
        <v>325</v>
      </c>
    </row>
    <row r="43" spans="1:10">
      <c r="A43" s="12" t="s">
        <v>63</v>
      </c>
      <c r="B43" s="44">
        <v>100</v>
      </c>
      <c r="C43" s="43">
        <v>72</v>
      </c>
      <c r="D43" s="44">
        <v>108</v>
      </c>
      <c r="E43" s="43">
        <v>64</v>
      </c>
      <c r="F43" s="44">
        <v>106</v>
      </c>
      <c r="G43" s="44">
        <v>104</v>
      </c>
      <c r="H43" s="43">
        <v>554</v>
      </c>
      <c r="I43" s="12" t="s">
        <v>321</v>
      </c>
      <c r="J43" s="12" t="s">
        <v>324</v>
      </c>
    </row>
    <row r="44" spans="1:10">
      <c r="A44" s="12" t="s">
        <v>41</v>
      </c>
      <c r="B44" s="43">
        <v>77</v>
      </c>
      <c r="C44" s="46">
        <v>120</v>
      </c>
      <c r="D44" s="46">
        <v>122</v>
      </c>
      <c r="E44" s="44">
        <v>108</v>
      </c>
      <c r="F44" s="47">
        <v>133</v>
      </c>
      <c r="G44" s="43">
        <v>86</v>
      </c>
      <c r="H44" s="47">
        <v>646</v>
      </c>
      <c r="I44" s="12" t="s">
        <v>320</v>
      </c>
      <c r="J44" s="12" t="s">
        <v>329</v>
      </c>
    </row>
    <row r="45" spans="1:10">
      <c r="A45" s="12" t="s">
        <v>43</v>
      </c>
      <c r="B45" s="44">
        <v>94</v>
      </c>
      <c r="C45" s="43">
        <v>76</v>
      </c>
      <c r="D45" s="46">
        <v>126</v>
      </c>
      <c r="E45" s="44">
        <v>105</v>
      </c>
      <c r="F45" s="44">
        <v>104</v>
      </c>
      <c r="G45" s="43">
        <v>84</v>
      </c>
      <c r="H45" s="44">
        <v>589</v>
      </c>
      <c r="I45" s="12" t="s">
        <v>318</v>
      </c>
      <c r="J45" s="12" t="s">
        <v>325</v>
      </c>
    </row>
    <row r="46" spans="1:10">
      <c r="A46" s="12" t="s">
        <v>60</v>
      </c>
      <c r="B46" s="43">
        <v>71</v>
      </c>
      <c r="C46" s="44">
        <v>105</v>
      </c>
      <c r="D46" s="46">
        <v>113</v>
      </c>
      <c r="E46" s="44">
        <v>108</v>
      </c>
      <c r="F46" s="46">
        <v>125</v>
      </c>
      <c r="G46" s="44">
        <v>100</v>
      </c>
      <c r="H46" s="46">
        <v>622</v>
      </c>
      <c r="I46" s="12" t="s">
        <v>320</v>
      </c>
      <c r="J46" s="12" t="s">
        <v>329</v>
      </c>
    </row>
    <row r="47" spans="1:10">
      <c r="A47" s="12" t="s">
        <v>62</v>
      </c>
      <c r="B47" s="44">
        <v>92</v>
      </c>
      <c r="C47" s="46">
        <v>116</v>
      </c>
      <c r="D47" s="44">
        <v>96</v>
      </c>
      <c r="E47" s="44">
        <v>100</v>
      </c>
      <c r="F47" s="43">
        <v>84</v>
      </c>
      <c r="G47" s="46">
        <v>128</v>
      </c>
      <c r="H47" s="46">
        <v>616</v>
      </c>
      <c r="I47" s="12" t="s">
        <v>318</v>
      </c>
      <c r="J47" s="12" t="s">
        <v>315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はじめに</vt:lpstr>
      <vt:lpstr>変更履歴</vt:lpstr>
      <vt:lpstr>PT一覧表</vt:lpstr>
      <vt:lpstr>ランクアップ　シュミレーション</vt:lpstr>
      <vt:lpstr>モンスター毎Lv50時データ</vt:lpstr>
      <vt:lpstr>モンスター毎Lv25時データ</vt:lpstr>
      <vt:lpstr>ギルド一覧</vt:lpstr>
      <vt:lpstr>モンスター　一覧</vt:lpstr>
      <vt:lpstr>性格一覧</vt:lpstr>
      <vt:lpstr>性格とステータスの伸び率と覚醒Lv</vt:lpstr>
      <vt:lpstr>Lv50時の伸び率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tci-p</cp:lastModifiedBy>
  <dcterms:created xsi:type="dcterms:W3CDTF">2013-09-22T06:00:05Z</dcterms:created>
  <dcterms:modified xsi:type="dcterms:W3CDTF">2013-12-04T08:50:50Z</dcterms:modified>
</cp:coreProperties>
</file>